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Business_Dev\Marketing\CRM\IR dokumenter\2022\Q1 2022\"/>
    </mc:Choice>
  </mc:AlternateContent>
  <xr:revisionPtr revIDLastSave="0" documentId="8_{DE511E33-7A4D-4C93-80DB-C017109FE630}" xr6:coauthVersionLast="47" xr6:coauthVersionMax="47" xr10:uidLastSave="{00000000-0000-0000-0000-000000000000}"/>
  <bookViews>
    <workbookView xWindow="2685" yWindow="2685" windowWidth="28800" windowHeight="15435"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CONTENTS!$A$1:$F$11,CONTENTS!$A$13:$F$39</definedName>
    <definedName name="VarFriPlan">[1]VarFriPlan!$C$1:$C$26</definedName>
    <definedName name="www">#REF!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22" l="1"/>
  <c r="L17" i="22"/>
  <c r="H11" i="22"/>
  <c r="D10" i="16"/>
  <c r="C13" i="15"/>
  <c r="C12" i="15"/>
  <c r="C11" i="15"/>
  <c r="D11" i="15"/>
  <c r="D13" i="15"/>
  <c r="D12" i="15"/>
  <c r="D17" i="13"/>
  <c r="E14" i="13"/>
  <c r="J20" i="13"/>
  <c r="J19" i="13"/>
  <c r="J21" i="13"/>
  <c r="E15" i="13"/>
  <c r="E11" i="13"/>
  <c r="H10" i="12"/>
  <c r="G10" i="12"/>
  <c r="G11" i="12"/>
  <c r="F11" i="12"/>
  <c r="E11" i="12"/>
  <c r="D11" i="12"/>
  <c r="D10" i="12"/>
  <c r="E24" i="6"/>
  <c r="D24" i="6"/>
  <c r="E23" i="6"/>
  <c r="E13" i="6"/>
  <c r="E14" i="6"/>
  <c r="E17" i="6"/>
  <c r="E26" i="6"/>
  <c r="E31" i="6"/>
  <c r="E34" i="6"/>
  <c r="D33" i="5"/>
  <c r="D13" i="4"/>
  <c r="D14" i="3"/>
  <c r="D13" i="3"/>
  <c r="D12" i="3"/>
  <c r="G35" i="42"/>
  <c r="G34" i="42"/>
  <c r="G33" i="42"/>
  <c r="G32" i="42"/>
  <c r="G27" i="42"/>
  <c r="G25" i="42"/>
  <c r="G24" i="42"/>
  <c r="G26" i="42"/>
  <c r="D38" i="41"/>
  <c r="E37" i="41"/>
  <c r="D37" i="41"/>
  <c r="C37" i="41"/>
  <c r="F31" i="41"/>
  <c r="D31" i="41"/>
  <c r="C31" i="41"/>
  <c r="C23" i="41"/>
  <c r="C15" i="41"/>
  <c r="C12" i="41"/>
  <c r="AW14" i="33"/>
  <c r="AW12" i="33"/>
  <c r="AW10" i="33"/>
  <c r="AW9" i="33"/>
  <c r="AW17" i="33"/>
  <c r="AW19" i="33"/>
  <c r="AX19" i="33"/>
  <c r="AX17" i="33"/>
  <c r="AX14" i="33"/>
  <c r="AU14" i="33"/>
  <c r="AX13" i="33"/>
  <c r="AU13" i="33"/>
  <c r="AX12" i="33"/>
  <c r="AU12" i="33"/>
  <c r="AX11" i="33"/>
  <c r="AU11" i="33"/>
  <c r="AV11" i="33"/>
  <c r="AX10" i="33"/>
  <c r="AU10" i="33"/>
  <c r="AX9" i="33"/>
  <c r="AU9" i="33"/>
  <c r="L102" i="28"/>
  <c r="L110" i="28"/>
  <c r="L18" i="28"/>
  <c r="L53" i="28"/>
  <c r="L54" i="28"/>
  <c r="L111" i="28"/>
  <c r="L78" i="28"/>
  <c r="L109" i="28"/>
  <c r="K43" i="27"/>
  <c r="K57" i="27"/>
  <c r="K47" i="27"/>
  <c r="K48" i="27"/>
  <c r="K49" i="27"/>
  <c r="K51" i="27"/>
  <c r="K52" i="27"/>
  <c r="K53" i="27"/>
  <c r="K54" i="27"/>
  <c r="K55" i="27"/>
  <c r="K33" i="27"/>
  <c r="K34" i="27"/>
  <c r="K25" i="27"/>
  <c r="K29" i="27"/>
  <c r="K13" i="27"/>
  <c r="K15" i="27"/>
  <c r="AR14" i="33"/>
  <c r="AP14" i="33"/>
  <c r="AR17" i="33"/>
  <c r="AR9" i="33"/>
  <c r="AR10" i="33"/>
  <c r="AR12" i="33"/>
  <c r="AR19" i="33"/>
  <c r="AS19" i="33"/>
  <c r="AP11" i="33"/>
  <c r="AS12" i="33"/>
  <c r="AS10" i="33"/>
  <c r="AS13" i="33"/>
  <c r="AP13" i="33"/>
  <c r="AS11" i="33"/>
  <c r="AS9" i="33"/>
  <c r="AP9" i="33"/>
  <c r="J43" i="27"/>
  <c r="J33" i="27"/>
  <c r="J34" i="27"/>
  <c r="J25" i="27"/>
  <c r="J29" i="27"/>
  <c r="J13" i="27"/>
  <c r="J15" i="27"/>
  <c r="J57" i="27"/>
  <c r="J51" i="27"/>
  <c r="J53" i="27"/>
  <c r="J55" i="27"/>
  <c r="J54" i="27"/>
  <c r="J52" i="27"/>
  <c r="J49" i="27"/>
  <c r="J48" i="27"/>
  <c r="J47" i="27"/>
  <c r="AM14" i="33"/>
  <c r="AK14" i="33"/>
  <c r="AM12" i="33"/>
  <c r="AK12" i="33"/>
  <c r="AN11" i="33"/>
  <c r="AM9" i="33"/>
  <c r="AN9" i="33"/>
  <c r="AM17" i="33"/>
  <c r="AN17" i="33"/>
  <c r="AN13" i="33"/>
  <c r="AK13" i="33"/>
  <c r="I55" i="27"/>
  <c r="I53" i="27"/>
  <c r="I51" i="27"/>
  <c r="I48" i="27"/>
  <c r="I49" i="27"/>
  <c r="I52" i="27"/>
  <c r="I54" i="27"/>
  <c r="I57" i="27"/>
  <c r="I47" i="27"/>
  <c r="I43" i="27"/>
  <c r="I33" i="27"/>
  <c r="I34" i="27"/>
  <c r="I29" i="27"/>
  <c r="I25" i="27"/>
  <c r="I15" i="27"/>
  <c r="I13" i="27"/>
  <c r="I12" i="27"/>
  <c r="I10" i="27"/>
  <c r="AH11" i="33"/>
  <c r="AF11" i="33"/>
  <c r="AF10" i="33"/>
  <c r="AF12" i="33"/>
  <c r="AF13" i="33"/>
  <c r="AF14" i="33"/>
  <c r="H51" i="27"/>
  <c r="H53" i="27"/>
  <c r="H55" i="27"/>
  <c r="H49" i="27"/>
  <c r="H48" i="27"/>
  <c r="H47" i="27"/>
  <c r="H43" i="27"/>
  <c r="H33" i="27"/>
  <c r="H25" i="27"/>
  <c r="H29" i="27"/>
  <c r="H31" i="27"/>
  <c r="H34" i="27"/>
  <c r="H15" i="27"/>
  <c r="H13" i="27"/>
  <c r="H8" i="27"/>
  <c r="H10" i="27"/>
  <c r="AI17" i="33"/>
  <c r="AH17" i="33"/>
  <c r="AI14" i="33"/>
  <c r="AI13" i="33"/>
  <c r="AI10" i="33"/>
  <c r="AI9" i="33"/>
  <c r="AF9" i="33"/>
  <c r="AS14" i="33"/>
  <c r="AP10" i="33"/>
  <c r="AP12" i="33"/>
  <c r="AS17" i="33"/>
  <c r="AN14" i="33"/>
  <c r="AN12" i="33"/>
  <c r="AN10" i="33"/>
  <c r="AK9" i="33"/>
  <c r="AM19" i="33"/>
  <c r="AN19" i="33"/>
  <c r="AI12" i="33"/>
  <c r="T19" i="33"/>
  <c r="S19" i="33"/>
  <c r="AC17" i="33"/>
  <c r="X17" i="33"/>
  <c r="Y17" i="33"/>
  <c r="AC14" i="33"/>
  <c r="AA14" i="33"/>
  <c r="Y14" i="33"/>
  <c r="V14" i="33"/>
  <c r="AD13" i="33"/>
  <c r="AA13" i="33"/>
  <c r="Y13" i="33"/>
  <c r="V13" i="33"/>
  <c r="AC12" i="33"/>
  <c r="AD12" i="33"/>
  <c r="X12" i="33"/>
  <c r="V12" i="33"/>
  <c r="AC11" i="33"/>
  <c r="AA11" i="33"/>
  <c r="Y11" i="33"/>
  <c r="V11" i="33"/>
  <c r="W11" i="33"/>
  <c r="Q11" i="33"/>
  <c r="R11" i="33"/>
  <c r="AC10" i="33"/>
  <c r="AA10" i="33"/>
  <c r="X10" i="33"/>
  <c r="Y10" i="33"/>
  <c r="V10" i="33"/>
  <c r="AC9" i="33"/>
  <c r="AD9" i="33"/>
  <c r="Y9" i="33"/>
  <c r="V9" i="33"/>
  <c r="H11" i="12"/>
  <c r="E10" i="12"/>
  <c r="F10" i="12"/>
  <c r="F35" i="42"/>
  <c r="E35" i="42"/>
  <c r="D35" i="42"/>
  <c r="C35" i="42"/>
  <c r="B35" i="42"/>
  <c r="G28" i="42"/>
  <c r="F28" i="42"/>
  <c r="E28" i="42"/>
  <c r="D28" i="42"/>
  <c r="C28" i="42"/>
  <c r="B28" i="42"/>
  <c r="AA9" i="33"/>
  <c r="AD10" i="33"/>
  <c r="AD14" i="33"/>
  <c r="AC19" i="33"/>
  <c r="AD19" i="33"/>
  <c r="AB11" i="33"/>
  <c r="Y12" i="33"/>
  <c r="AD17" i="33"/>
  <c r="AA12" i="33"/>
  <c r="AD11" i="33"/>
  <c r="X19" i="33"/>
  <c r="Y19" i="33"/>
  <c r="I11" i="12"/>
  <c r="I10" i="12"/>
  <c r="T13" i="22"/>
  <c r="T11" i="22"/>
  <c r="T12" i="22"/>
  <c r="T14" i="22"/>
  <c r="T15" i="22"/>
  <c r="T16" i="22"/>
  <c r="D10" i="22"/>
  <c r="T10" i="22"/>
  <c r="M17" i="22"/>
  <c r="E17" i="22"/>
  <c r="F17" i="22"/>
  <c r="G17" i="22"/>
  <c r="H17" i="22"/>
  <c r="I17" i="22"/>
  <c r="J17" i="22"/>
  <c r="K17" i="22"/>
  <c r="N17" i="22"/>
  <c r="O17" i="22"/>
  <c r="P17" i="22"/>
  <c r="Q17" i="22"/>
  <c r="R17" i="22"/>
  <c r="S17" i="22"/>
  <c r="D17" i="22"/>
  <c r="D12" i="16"/>
  <c r="G12" i="16"/>
  <c r="F12" i="16"/>
  <c r="E12" i="16"/>
  <c r="T17" i="22"/>
  <c r="I13" i="15"/>
  <c r="I12" i="15"/>
  <c r="I11" i="15"/>
  <c r="D14" i="15"/>
  <c r="E17" i="13"/>
  <c r="E18" i="13"/>
  <c r="D18" i="13"/>
  <c r="J12" i="13"/>
  <c r="J13" i="13"/>
  <c r="J15" i="13"/>
  <c r="J16" i="13"/>
  <c r="J11" i="13"/>
  <c r="C14" i="15"/>
  <c r="I14" i="15"/>
  <c r="J18" i="13"/>
  <c r="J14" i="13"/>
  <c r="J17" i="13"/>
  <c r="D10" i="5"/>
  <c r="D15" i="4"/>
  <c r="D29" i="5"/>
  <c r="N14" i="3"/>
  <c r="N13" i="3"/>
  <c r="N12" i="3"/>
  <c r="M22" i="3"/>
  <c r="G18" i="42"/>
  <c r="C39" i="41"/>
  <c r="D39" i="41"/>
  <c r="E38" i="41"/>
  <c r="F30" i="41"/>
  <c r="H23" i="41"/>
  <c r="E39" i="41"/>
  <c r="F37" i="41"/>
  <c r="F38" i="41"/>
  <c r="C14" i="41"/>
  <c r="C17" i="41"/>
  <c r="C18" i="41"/>
  <c r="I12" i="12"/>
  <c r="E12" i="12"/>
  <c r="F12" i="12"/>
  <c r="G12" i="12"/>
  <c r="H12" i="12"/>
  <c r="D12" i="12"/>
  <c r="E33" i="6"/>
  <c r="D12" i="5"/>
  <c r="D31" i="5"/>
  <c r="M21" i="3"/>
  <c r="M23" i="3"/>
  <c r="D34" i="5"/>
  <c r="D36" i="5"/>
  <c r="H18" i="42"/>
  <c r="C8" i="42"/>
  <c r="C7" i="42"/>
  <c r="G19" i="42"/>
  <c r="H19" i="42"/>
  <c r="C13" i="42"/>
  <c r="C14" i="42"/>
  <c r="B7" i="2"/>
  <c r="B8" i="2"/>
  <c r="B9" i="2"/>
  <c r="B10" i="2"/>
  <c r="B11" i="2"/>
  <c r="B12" i="2"/>
  <c r="B13" i="2"/>
  <c r="B14" i="2"/>
  <c r="B15" i="2"/>
  <c r="B16" i="2"/>
  <c r="B17" i="2"/>
  <c r="B18" i="2"/>
  <c r="B19" i="2"/>
  <c r="B20" i="2"/>
  <c r="B21" i="2"/>
  <c r="B22" i="2"/>
  <c r="B23" i="2"/>
  <c r="D19" i="42"/>
  <c r="E19" i="42"/>
  <c r="F19" i="42"/>
  <c r="C19" i="42"/>
  <c r="AH19" i="33"/>
  <c r="AI19" i="33"/>
  <c r="AG11" i="33"/>
  <c r="AI11" i="33"/>
  <c r="AQ11" i="33"/>
  <c r="D31" i="6"/>
  <c r="E35" i="6"/>
</calcChain>
</file>

<file path=xl/sharedStrings.xml><?xml version="1.0" encoding="utf-8"?>
<sst xmlns="http://schemas.openxmlformats.org/spreadsheetml/2006/main" count="923" uniqueCount="699">
  <si>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</si>
  <si>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</si>
  <si>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</si>
  <si>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</si>
  <si>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</si>
  <si>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</si>
  <si>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</si>
  <si>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</si>
  <si>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</si>
  <si>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</si>
  <si>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</si>
  <si>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</si>
  <si>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</si>
  <si>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</si>
  <si>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</si>
  <si>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</si>
  <si>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</si>
  <si>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</si>
  <si>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</si>
  <si>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</si>
  <si>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</si>
  <si>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</si>
  <si>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</si>
  <si>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</si>
  <si>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</si>
  <si>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</si>
  <si>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</si>
  <si>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</si>
  <si>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</si>
  <si>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</si>
  <si>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</si>
  <si>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</si>
  <si>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</si>
  <si>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</si>
  <si>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</si>
  <si>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</si>
  <si>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</si>
  <si>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</si>
  <si>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</si>
  <si>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</si>
  <si>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</si>
  <si>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</si>
  <si>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</si>
  <si>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</si>
  <si>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</si>
  <si>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</si>
  <si>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</si>
  <si>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</si>
  <si>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</si>
  <si>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</si>
  <si>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</si>
  <si>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</si>
  <si>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</si>
  <si>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</si>
  <si>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</si>
  <si>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</si>
  <si>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</si>
  <si>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</si>
  <si>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</si>
  <si>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</si>
  <si>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</si>
  <si>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</si>
  <si>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</si>
  <si>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</si>
  <si>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</si>
  <si>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</si>
  <si>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</si>
  <si>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</si>
  <si>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</si>
  <si>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</si>
  <si>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</si>
  <si>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</si>
  <si>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</si>
  <si>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</si>
  <si>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</si>
  <si>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</si>
  <si>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</si>
  <si>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</si>
  <si>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</si>
  <si>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</si>
  <si>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</si>
  <si>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</si>
  <si>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</si>
  <si>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</si>
  <si>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</si>
  <si>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</si>
  <si>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</si>
  <si>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</si>
  <si>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</si>
  <si>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</si>
  <si>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</si>
  <si>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</si>
  <si>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</si>
  <si>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</si>
  <si>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</si>
  <si>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</si>
  <si>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</si>
  <si>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</si>
  <si>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</si>
  <si>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</si>
  <si>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</si>
  <si>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</si>
  <si>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</si>
  <si>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</si>
  <si>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</si>
  <si>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</si>
  <si>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</si>
  <si>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</si>
  <si>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</si>
  <si>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</si>
  <si>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</si>
  <si>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</si>
  <si>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</si>
  <si>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</si>
  <si>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</si>
  <si>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</si>
  <si>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</si>
  <si>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</si>
  <si>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</si>
  <si>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</si>
  <si>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</si>
  <si>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</si>
  <si>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</si>
  <si>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</si>
  <si>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</si>
  <si>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</si>
  <si>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</si>
  <si>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</si>
  <si>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</si>
  <si>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</si>
  <si>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</si>
  <si>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</si>
  <si>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</si>
  <si>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</si>
  <si>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</si>
  <si>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</si>
  <si>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</si>
  <si>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</si>
  <si>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</si>
  <si>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</si>
  <si>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</si>
  <si>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</si>
  <si>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</si>
  <si>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</si>
  <si>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</si>
  <si>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</si>
  <si>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</si>
  <si>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</si>
  <si>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</si>
  <si>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</si>
  <si>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</si>
  <si>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</si>
  <si>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</si>
  <si>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</si>
  <si>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</si>
  <si>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</si>
  <si>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</si>
  <si>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</si>
  <si>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</si>
  <si>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</si>
  <si>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</si>
  <si>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</si>
  <si>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</si>
  <si>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</si>
  <si>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</si>
  <si>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</si>
  <si>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</si>
  <si>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</si>
  <si>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</si>
  <si>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</si>
  <si>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</si>
  <si>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</si>
  <si>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</si>
  <si>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</si>
  <si>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</si>
  <si>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</si>
  <si>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</si>
  <si>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</si>
  <si>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</si>
  <si>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</si>
  <si>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</si>
  <si>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</si>
  <si>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</si>
  <si>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</si>
  <si>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</si>
  <si>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</si>
  <si>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</si>
  <si>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</si>
  <si>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</si>
  <si>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</si>
  <si>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</si>
  <si>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</si>
  <si>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</si>
  <si>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</si>
  <si>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</si>
  <si>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</si>
  <si>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</si>
  <si>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</si>
  <si>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</si>
  <si>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</si>
  <si>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</si>
  <si>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</si>
  <si>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</si>
  <si>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</si>
  <si>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</si>
  <si>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</si>
  <si>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</si>
  <si>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</si>
  <si>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</si>
  <si>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</si>
  <si>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</si>
  <si>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</si>
  <si>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</si>
  <si>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</si>
  <si>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</si>
  <si>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</si>
  <si>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</si>
  <si>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</si>
  <si>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</si>
  <si>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</si>
  <si>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</si>
  <si>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</si>
  <si>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</si>
  <si>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</si>
  <si>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</si>
  <si>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</si>
  <si>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</si>
  <si>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</si>
  <si>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</si>
  <si>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</si>
  <si>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</si>
  <si>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</si>
  <si>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</si>
  <si>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</si>
  <si>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</si>
  <si>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</si>
  <si>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</si>
  <si>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</si>
  <si>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</si>
  <si>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</si>
  <si>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</si>
  <si>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</si>
  <si>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</si>
  <si>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</si>
  <si>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</si>
  <si>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</si>
  <si>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</si>
  <si>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</si>
  <si>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</si>
  <si>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</si>
  <si>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</si>
  <si>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</si>
  <si>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</si>
  <si>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</si>
  <si>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</si>
  <si>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</si>
  <si>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</si>
  <si>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</si>
  <si>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</si>
  <si>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</si>
  <si>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</si>
  <si>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</si>
  <si>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</si>
  <si>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</si>
  <si>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</si>
  <si>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</si>
  <si>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</si>
  <si>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</si>
  <si>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</si>
  <si>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</si>
  <si>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</si>
  <si>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</si>
  <si>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</si>
  <si>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</si>
  <si>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</si>
  <si>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</si>
  <si>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</si>
  <si>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</si>
  <si>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</si>
  <si>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</si>
  <si>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</si>
  <si>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</si>
  <si>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</si>
  <si>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</si>
  <si>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</si>
  <si>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</si>
  <si>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</si>
  <si>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</si>
  <si>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</si>
  <si>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</si>
  <si>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</si>
  <si>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</si>
  <si>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</si>
  <si>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</si>
  <si>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</si>
  <si>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</si>
  <si>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</si>
  <si>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</si>
  <si>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</si>
  <si>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</si>
  <si>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</si>
  <si>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</si>
  <si>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</si>
  <si>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</si>
  <si>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</si>
  <si>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</si>
  <si>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</si>
  <si>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</si>
  <si>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</si>
  <si>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</si>
  <si>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</si>
  <si>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</si>
  <si>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</si>
  <si>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</si>
  <si>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</si>
  <si>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</si>
  <si>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</si>
  <si>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</si>
  <si>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</si>
  <si>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</si>
  <si>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</si>
  <si>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</si>
  <si>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</si>
  <si>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</si>
  <si>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</si>
  <si>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</si>
  <si>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</si>
  <si>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</si>
  <si>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</si>
  <si>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</si>
  <si>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</si>
  <si>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</si>
  <si>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</si>
  <si>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</si>
  <si>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</si>
  <si>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</si>
  <si>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</si>
  <si>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</si>
  <si>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</si>
  <si>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</si>
  <si>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</si>
  <si>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</si>
  <si>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</si>
  <si>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</si>
  <si>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</si>
  <si>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</si>
  <si>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</si>
  <si>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</si>
  <si>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</si>
  <si>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</si>
  <si>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</si>
  <si>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</si>
  <si>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</si>
  <si>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</si>
  <si>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</si>
  <si>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</si>
  <si>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</si>
  <si>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</si>
  <si>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</si>
  <si>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</si>
  <si>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</si>
  <si>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</si>
  <si>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</si>
  <si>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</si>
  <si>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</si>
  <si>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</si>
  <si>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</si>
  <si>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</si>
  <si>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</si>
  <si>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</si>
  <si>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</si>
  <si>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</si>
  <si>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</si>
  <si>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</si>
  <si>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</si>
  <si>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</si>
  <si>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</si>
  <si>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</si>
  <si>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</si>
  <si>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</si>
  <si>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</si>
  <si>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</si>
  <si>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</si>
  <si>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</si>
  <si>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</si>
  <si>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</si>
  <si>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</si>
  <si>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</si>
  <si>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</si>
  <si>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</si>
  <si>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</si>
  <si>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</si>
  <si>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</si>
  <si>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</si>
  <si>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</si>
  <si>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</si>
  <si>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</si>
  <si>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</si>
  <si>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</si>
  <si>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</si>
  <si>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</si>
  <si>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</si>
  <si>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</si>
  <si>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</si>
  <si>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</si>
  <si>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</si>
  <si>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</si>
  <si>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</si>
  <si>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</si>
  <si>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</si>
  <si>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</si>
  <si>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Subordinated loan capital</t>
  </si>
  <si>
    <t>Subordinated bonds capital</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</si>
  <si>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</si>
  <si>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</si>
  <si>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</si>
  <si>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</si>
  <si>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</si>
  <si>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</si>
  <si>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</si>
  <si>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</si>
  <si>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</si>
  <si>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</si>
  <si>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</si>
  <si>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</si>
  <si>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</si>
  <si>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</si>
  <si>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</si>
  <si>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</si>
  <si>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</si>
  <si>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</si>
  <si>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</si>
  <si>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</si>
  <si>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</si>
  <si>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</si>
  <si>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</si>
  <si>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</si>
  <si>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</si>
  <si>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</si>
  <si>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</si>
  <si>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</si>
  <si>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</si>
  <si>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</si>
  <si>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</si>
  <si>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</si>
  <si>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</si>
  <si>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</si>
  <si>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</si>
  <si>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</si>
  <si>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</si>
  <si>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</si>
  <si>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</si>
  <si>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</si>
  <si>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</si>
  <si>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</si>
  <si>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</si>
  <si>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</si>
  <si>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</si>
  <si>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</si>
  <si>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</si>
  <si>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</si>
  <si>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</si>
  <si>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</si>
  <si>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</si>
  <si>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</si>
  <si>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</si>
  <si>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</si>
  <si>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</si>
  <si>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</si>
  <si>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</si>
  <si>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</si>
  <si>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</si>
  <si>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</si>
  <si>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</si>
  <si>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</si>
  <si>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</si>
  <si>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</si>
  <si>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</si>
  <si>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</si>
  <si>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</si>
  <si>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</si>
  <si>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</si>
  <si>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</si>
  <si>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</si>
  <si>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</si>
  <si>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</si>
  <si>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</si>
  <si>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</si>
  <si>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</si>
  <si>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</si>
  <si>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</si>
  <si>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</si>
  <si>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</si>
  <si>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</si>
  <si>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</si>
  <si>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</si>
  <si>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</si>
  <si>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</si>
  <si>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</si>
  <si>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</si>
  <si>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</si>
  <si>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</si>
  <si>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</si>
  <si>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</si>
  <si>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</si>
  <si>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</si>
  <si>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</si>
  <si>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</si>
  <si>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</si>
  <si>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</si>
  <si>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</si>
  <si>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</si>
  <si>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</si>
  <si>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Komplett Bank - Risk and capital management / Pillar 3 additional disclosures</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</si>
  <si>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</si>
  <si>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</si>
  <si>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</si>
  <si>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</si>
  <si>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</si>
  <si>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</si>
  <si>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</si>
  <si>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</si>
  <si>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</si>
  <si>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</si>
  <si>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</si>
  <si>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</si>
  <si>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</si>
  <si>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</si>
  <si>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</si>
  <si>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</si>
  <si>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</si>
  <si>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</si>
  <si>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Sum RWA</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</si>
  <si>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</si>
  <si>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</si>
  <si>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</si>
  <si>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</si>
  <si>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</si>
  <si>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</si>
  <si>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</si>
  <si>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</si>
  <si>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</si>
  <si>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</si>
  <si>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</si>
  <si>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</si>
  <si>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</si>
  <si>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</si>
  <si>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</si>
  <si>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</si>
  <si>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</si>
  <si>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</si>
  <si>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</si>
  <si>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</si>
  <si>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</si>
  <si>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</si>
  <si>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</si>
  <si>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</si>
  <si>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</si>
  <si>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</si>
  <si>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</si>
  <si>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</si>
  <si>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</si>
  <si>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</si>
  <si>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</si>
  <si>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</si>
  <si>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</si>
  <si>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</si>
  <si>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</si>
  <si>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</si>
  <si>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</si>
  <si>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</si>
  <si>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</si>
  <si>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</si>
  <si>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</si>
  <si>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</si>
  <si>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</si>
  <si>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</si>
  <si>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</si>
  <si>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</si>
  <si>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</si>
  <si>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</si>
  <si>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</si>
  <si>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</si>
  <si>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</si>
  <si>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Komplett Bank</t>
  </si>
  <si>
    <t xml:space="preserve">NOK 65m </t>
  </si>
  <si>
    <t>NOK 65m</t>
  </si>
  <si>
    <t>NOK 200m</t>
  </si>
  <si>
    <t>NO0010886542</t>
  </si>
  <si>
    <t>26 June 2020</t>
  </si>
  <si>
    <t>26 June 2025
100 percent of nominal value
In addition "regulatory redemption right" as 100 % of nominal value with the addition of accrued interest</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</si>
  <si>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</si>
  <si>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</si>
  <si>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</si>
  <si>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</si>
  <si>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</si>
  <si>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</si>
  <si>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</si>
  <si>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</si>
  <si>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</si>
  <si>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</si>
  <si>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</si>
  <si>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</si>
  <si>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</si>
  <si>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</si>
  <si>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</si>
  <si>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</si>
  <si>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</si>
  <si>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</si>
  <si>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</si>
  <si>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</si>
  <si>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</si>
  <si>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</si>
  <si>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</si>
  <si>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</si>
  <si>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</si>
  <si>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</si>
  <si>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</si>
  <si>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</si>
  <si>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</si>
  <si>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</si>
  <si>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</si>
  <si>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</si>
  <si>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</si>
  <si>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</si>
  <si>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</si>
  <si>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</si>
  <si>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</si>
  <si>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</si>
  <si>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</si>
  <si>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</si>
  <si>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</si>
  <si>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</si>
  <si>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</si>
  <si>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</si>
  <si>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</si>
  <si>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</si>
  <si>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</si>
  <si>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</si>
  <si>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</si>
  <si>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</si>
  <si>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</si>
  <si>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</si>
  <si>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</si>
  <si>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</si>
  <si>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</si>
  <si>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</si>
  <si>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</si>
  <si>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</si>
  <si>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</si>
  <si>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</si>
  <si>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</si>
  <si>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</si>
  <si>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</si>
  <si>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</si>
  <si>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</si>
  <si>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</si>
  <si>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</si>
  <si>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</si>
  <si>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</si>
  <si>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</si>
  <si>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</si>
  <si>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</si>
  <si>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</si>
  <si>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</si>
  <si>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</si>
  <si>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</si>
  <si>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</si>
  <si>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</si>
  <si>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</si>
  <si>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</si>
  <si>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</si>
  <si>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</si>
  <si>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</si>
  <si>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</si>
  <si>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</si>
  <si>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</si>
  <si>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</si>
  <si>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</si>
  <si>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</si>
  <si>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</si>
  <si>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</si>
  <si>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</si>
  <si>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Residual time to maturity (nominal value pr 31.12.2020)</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</si>
  <si>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</si>
  <si>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</si>
  <si>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</si>
  <si>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</si>
  <si>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</si>
  <si>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</si>
  <si>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</si>
  <si>
    <t>2021 - 06 - 30
(NOK millions)</t>
  </si>
  <si>
    <t>2021 - 09 - 30
(NOK millions)</t>
  </si>
  <si>
    <t>2021 - 12 - 31
(NOK millions)</t>
  </si>
  <si>
    <t>2022 - 03 - 31
(NOK millions)</t>
  </si>
  <si>
    <t>Change in value, balance sheet total 31.12.2021</t>
  </si>
  <si>
    <t>Net currency exposure at 31.12.21</t>
  </si>
  <si>
    <t>Spread risk broken down by sector calculated according to methodology in circular 12/2016 (31.12.2021)</t>
  </si>
  <si>
    <t>≤ 30 days+current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</si>
</sst>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right/>
      <top/>
      <bottom style="thin">
        <color rgb="FF000000"/>
      </bottom>
      <diagonal/>
    </border>
    <border>
      <left style="thin">
        <color indexed="0"/>
      </left>
      <right style="thin">
        <color indexed="64"/>
      </right>
      <top style="thin">
        <color indexed="0"/>
      </top>
      <bottom style="thin">
        <color indexed="64"/>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xf numFmtId="43" fontId="1" fillId="0" borderId="0" applyFont="0" applyFill="0" applyBorder="0" applyAlignment="0" applyProtection="0"/>
  </cellStyleXfs>
  <cellXfs count="543">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18"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18"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3" applyFont="1" applyFill="1">
      <alignment vertical="center"/>
    </xf>
    <xf numFmtId="0" fontId="11" fillId="4" borderId="0" xfId="4" applyFont="1" applyFill="1">
      <alignment vertical="center"/>
    </xf>
    <xf numFmtId="0" fontId="12" fillId="4" borderId="0" xfId="5" applyFont="1" applyFill="1" applyBorder="1" applyAlignment="1">
      <alignment vertical="center"/>
    </xf>
    <xf numFmtId="0" fontId="12" fillId="4" borderId="0" xfId="6" applyFont="1" applyFill="1" applyBorder="1" applyAlignment="1">
      <alignment horizontal="left" vertical="center"/>
    </xf>
    <xf numFmtId="0" fontId="12" fillId="4" borderId="0" xfId="6" applyFont="1" applyFill="1" applyBorder="1" applyAlignment="1">
      <alignment vertical="center"/>
    </xf>
    <xf numFmtId="0" fontId="11" fillId="0" borderId="5" xfId="4" applyFont="1" applyBorder="1">
      <alignment vertical="center"/>
    </xf>
    <xf numFmtId="0" fontId="12" fillId="0" borderId="13" xfId="6" applyFont="1" applyFill="1" applyBorder="1" applyAlignment="1">
      <alignment vertical="center"/>
    </xf>
    <xf numFmtId="0" fontId="11" fillId="0" borderId="0" xfId="3" applyFont="1">
      <alignment vertical="center"/>
    </xf>
    <xf numFmtId="0" fontId="11" fillId="0" borderId="11" xfId="4" applyFont="1" applyBorder="1">
      <alignment vertical="center"/>
    </xf>
    <xf numFmtId="0" fontId="11" fillId="0" borderId="20" xfId="4" applyFont="1" applyBorder="1">
      <alignment vertical="center"/>
    </xf>
    <xf numFmtId="0" fontId="11" fillId="0" borderId="20" xfId="3" applyFont="1" applyBorder="1">
      <alignment vertical="center"/>
    </xf>
    <xf numFmtId="0" fontId="11" fillId="0" borderId="7" xfId="7" applyFont="1" applyFill="1" applyBorder="1" applyAlignment="1">
      <alignment horizontal="right" vertical="center" wrapText="1"/>
    </xf>
    <xf numFmtId="0" fontId="11" fillId="4" borderId="18" xfId="3" applyFont="1" applyFill="1" applyBorder="1">
      <alignment vertical="center"/>
    </xf>
    <xf numFmtId="0" fontId="11" fillId="0" borderId="7" xfId="4" quotePrefix="1" applyFont="1" applyBorder="1" applyAlignment="1">
      <alignment horizontal="center" vertical="center"/>
    </xf>
    <xf numFmtId="0" fontId="11" fillId="3" borderId="7" xfId="4" quotePrefix="1" applyFont="1" applyFill="1" applyBorder="1" applyAlignment="1">
      <alignment horizontal="center" vertical="center"/>
    </xf>
    <xf numFmtId="3" fontId="11" fillId="0" borderId="0" xfId="8" applyFont="1" applyFill="1" applyBorder="1" applyAlignment="1">
      <alignment horizontal="center" vertical="center"/>
      <protection locked="0"/>
    </xf>
    <xf numFmtId="3" fontId="11" fillId="2" borderId="0" xfId="8" applyFont="1" applyFill="1" applyBorder="1" applyAlignment="1">
      <alignment horizontal="center" vertical="center"/>
      <protection locked="0"/>
    </xf>
    <xf numFmtId="0" fontId="11" fillId="2" borderId="0" xfId="4" quotePrefix="1" applyFont="1" applyFill="1" applyAlignment="1">
      <alignment horizontal="right" vertical="center"/>
    </xf>
    <xf numFmtId="0" fontId="19" fillId="2" borderId="0" xfId="4" applyFont="1" applyFill="1" applyAlignment="1">
      <alignment horizontal="left" vertical="center" wrapText="1" indent="1"/>
    </xf>
    <xf numFmtId="0" fontId="11" fillId="2" borderId="0" xfId="3" applyFont="1" applyFill="1">
      <alignment vertical="center"/>
    </xf>
    <xf numFmtId="0" fontId="12" fillId="0" borderId="0" xfId="4" applyFont="1" applyAlignment="1">
      <alignment horizontal="center" vertical="center" wrapText="1"/>
    </xf>
    <xf numFmtId="0" fontId="11" fillId="0" borderId="0" xfId="4" quotePrefix="1" applyFont="1" applyAlignment="1">
      <alignment horizontal="center" vertical="center"/>
    </xf>
    <xf numFmtId="3" fontId="11" fillId="2" borderId="7" xfId="8" applyFont="1" applyFill="1">
      <alignment horizontal="right" vertical="center"/>
      <protection locked="0"/>
    </xf>
    <xf numFmtId="0" fontId="12" fillId="0" borderId="0" xfId="7" applyFont="1" applyFill="1" applyBorder="1" applyAlignment="1">
      <alignment horizontal="center" vertical="center" wrapText="1"/>
    </xf>
    <xf numFmtId="0" fontId="11" fillId="4" borderId="4" xfId="4" quotePrefix="1" applyFont="1" applyFill="1" applyBorder="1" applyAlignment="1">
      <alignment horizontal="center" vertical="center"/>
    </xf>
    <xf numFmtId="0" fontId="11" fillId="4" borderId="0" xfId="3" applyFont="1" applyFill="1" applyAlignment="1">
      <alignment vertical="center" wrapText="1"/>
    </xf>
    <xf numFmtId="0" fontId="12" fillId="4" borderId="0" xfId="3" applyFont="1" applyFill="1">
      <alignment vertical="center"/>
    </xf>
    <xf numFmtId="0" fontId="20" fillId="4" borderId="11" xfId="3"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3" applyFont="1" applyFill="1" applyBorder="1" applyAlignment="1">
      <alignment vertical="top"/>
    </xf>
    <xf numFmtId="0" fontId="11" fillId="4" borderId="20" xfId="3" applyFont="1" applyFill="1" applyBorder="1" applyAlignment="1">
      <alignment vertical="top"/>
    </xf>
    <xf numFmtId="0" fontId="11" fillId="4" borderId="0" xfId="3"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18"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18"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18"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18"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18"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18" applyNumberFormat="1"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9" applyNumberFormat="1" applyFont="1"/>
    <xf numFmtId="0" fontId="31" fillId="0" borderId="0" xfId="9" applyFont="1"/>
    <xf numFmtId="0" fontId="32" fillId="7" borderId="0" xfId="0" applyFont="1" applyFill="1"/>
    <xf numFmtId="0" fontId="2" fillId="7" borderId="0" xfId="0" applyFont="1" applyFill="1"/>
    <xf numFmtId="0" fontId="11" fillId="7" borderId="7" xfId="0" applyFont="1" applyFill="1" applyBorder="1"/>
    <xf numFmtId="3" fontId="11" fillId="0" borderId="7" xfId="11" quotePrefix="1" applyNumberFormat="1" applyFont="1" applyBorder="1" applyAlignment="1">
      <alignment horizontal="right"/>
    </xf>
    <xf numFmtId="0" fontId="11" fillId="0" borderId="0" xfId="9" applyFont="1"/>
    <xf numFmtId="0" fontId="12" fillId="7" borderId="7" xfId="0" applyFont="1" applyFill="1" applyBorder="1"/>
    <xf numFmtId="3" fontId="12" fillId="0" borderId="7" xfId="11" quotePrefix="1" applyNumberFormat="1" applyFont="1" applyBorder="1" applyAlignment="1">
      <alignment horizontal="right"/>
    </xf>
    <xf numFmtId="0" fontId="13" fillId="0" borderId="0" xfId="9" applyFont="1"/>
    <xf numFmtId="3" fontId="11" fillId="0" borderId="7" xfId="11" applyNumberFormat="1" applyFont="1" applyBorder="1"/>
    <xf numFmtId="0" fontId="19" fillId="7" borderId="7" xfId="0" applyFont="1" applyFill="1" applyBorder="1"/>
    <xf numFmtId="3" fontId="19" fillId="0" borderId="7" xfId="11" applyNumberFormat="1" applyFont="1" applyBorder="1"/>
    <xf numFmtId="0" fontId="11" fillId="7" borderId="7" xfId="0" applyFont="1" applyFill="1" applyBorder="1" applyAlignment="1">
      <alignment horizontal="left" indent="1"/>
    </xf>
    <xf numFmtId="0" fontId="13" fillId="0" borderId="7" xfId="9" applyFont="1" applyBorder="1"/>
    <xf numFmtId="169" fontId="11" fillId="0" borderId="7" xfId="9" applyNumberFormat="1" applyFont="1" applyBorder="1" applyAlignment="1">
      <alignment horizontal="right"/>
    </xf>
    <xf numFmtId="0" fontId="27" fillId="0" borderId="7" xfId="9" applyFont="1" applyBorder="1"/>
    <xf numFmtId="169" fontId="12" fillId="0" borderId="7" xfId="9" applyNumberFormat="1" applyFont="1" applyBorder="1" applyAlignment="1">
      <alignment horizontal="right"/>
    </xf>
    <xf numFmtId="169" fontId="11" fillId="0" borderId="0" xfId="9" applyNumberFormat="1" applyFont="1" applyAlignment="1">
      <alignment horizontal="right"/>
    </xf>
    <xf numFmtId="0" fontId="31" fillId="2" borderId="0" xfId="9"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3"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3"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2"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3"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3" applyNumberFormat="1" applyFont="1" applyFill="1" applyBorder="1" applyAlignment="1">
      <alignment horizontal="right"/>
    </xf>
    <xf numFmtId="166" fontId="26" fillId="0" borderId="7" xfId="13"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2"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3"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3" fontId="12"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9"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3" fontId="19" fillId="6" borderId="7" xfId="0" quotePrefix="1" applyNumberFormat="1" applyFont="1" applyFill="1" applyBorder="1" applyAlignment="1">
      <alignment horizontal="right"/>
    </xf>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9" fontId="11" fillId="6" borderId="7" xfId="1" quotePrefix="1" applyFont="1" applyFill="1" applyBorder="1" applyAlignment="1">
      <alignment horizontal="right"/>
    </xf>
    <xf numFmtId="14" fontId="11" fillId="6" borderId="6" xfId="0" applyNumberFormat="1" applyFont="1" applyFill="1" applyBorder="1" applyAlignment="1">
      <alignment horizontal="left"/>
    </xf>
    <xf numFmtId="9" fontId="12" fillId="6" borderId="7" xfId="1" quotePrefix="1" applyFont="1" applyFill="1" applyBorder="1" applyAlignment="1">
      <alignment horizontal="righ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3"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3"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1"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18" applyNumberFormat="1" applyFont="1" applyFill="1" applyBorder="1" applyAlignment="1">
      <alignment horizontal="right" vertical="top" wrapText="1"/>
    </xf>
    <xf numFmtId="166" fontId="12" fillId="2" borderId="25" xfId="18" applyNumberFormat="1" applyFont="1" applyFill="1" applyBorder="1" applyAlignment="1">
      <alignment horizontal="left" vertical="top" wrapText="1"/>
    </xf>
    <xf numFmtId="166" fontId="35" fillId="2" borderId="7" xfId="18"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2" applyNumberFormat="1" applyFont="1" applyFill="1" applyBorder="1" applyAlignment="1">
      <alignment horizontal="right"/>
    </xf>
    <xf numFmtId="0" fontId="31" fillId="2" borderId="0" xfId="9"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7" applyNumberFormat="1" applyFont="1" applyBorder="1" applyAlignment="1">
      <alignment vertical="center"/>
    </xf>
    <xf numFmtId="178" fontId="51" fillId="0" borderId="37" xfId="17" applyNumberFormat="1" applyFont="1" applyBorder="1" applyAlignment="1">
      <alignment vertical="center"/>
    </xf>
    <xf numFmtId="178" fontId="52" fillId="0" borderId="37" xfId="17" applyNumberFormat="1" applyFont="1" applyBorder="1" applyAlignment="1">
      <alignment vertical="center"/>
    </xf>
    <xf numFmtId="0" fontId="51" fillId="0" borderId="0" xfId="0" applyFont="1" applyAlignment="1">
      <alignment vertical="center" wrapText="1"/>
    </xf>
    <xf numFmtId="178" fontId="51" fillId="0" borderId="37" xfId="17" applyNumberFormat="1" applyFont="1" applyBorder="1" applyAlignment="1">
      <alignment vertical="center" wrapText="1"/>
    </xf>
    <xf numFmtId="0" fontId="50" fillId="0" borderId="43" xfId="0" applyFont="1" applyBorder="1" applyAlignment="1">
      <alignment vertical="center"/>
    </xf>
    <xf numFmtId="178" fontId="50" fillId="0" borderId="44" xfId="17"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7"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18"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18"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18" applyNumberFormat="1" applyFont="1" applyFill="1" applyBorder="1" applyAlignment="1">
      <alignment horizontal="right" vertical="top" wrapText="1"/>
    </xf>
    <xf numFmtId="166" fontId="11" fillId="2" borderId="11" xfId="18" applyNumberFormat="1" applyFont="1" applyFill="1" applyBorder="1" applyAlignment="1">
      <alignment horizontal="right" vertical="top"/>
    </xf>
    <xf numFmtId="166" fontId="11" fillId="2" borderId="11" xfId="18" applyNumberFormat="1" applyFont="1" applyFill="1" applyBorder="1" applyAlignment="1">
      <alignment horizontal="left" vertical="top" wrapText="1"/>
    </xf>
    <xf numFmtId="166" fontId="11" fillId="2" borderId="11" xfId="18"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18"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4" quotePrefix="1" applyFont="1" applyFill="1" applyBorder="1" applyAlignment="1">
      <alignment horizontal="left" vertical="center"/>
    </xf>
    <xf numFmtId="0" fontId="11" fillId="4" borderId="7" xfId="4" applyFont="1" applyFill="1" applyBorder="1" applyAlignment="1">
      <alignment horizontal="left" vertical="center" wrapText="1"/>
    </xf>
    <xf numFmtId="0" fontId="11" fillId="0" borderId="7" xfId="4" applyFont="1" applyBorder="1" applyAlignment="1">
      <alignment horizontal="left" vertical="center" wrapText="1"/>
    </xf>
    <xf numFmtId="0" fontId="11" fillId="0" borderId="0" xfId="3" applyFont="1" applyBorder="1">
      <alignment vertical="center"/>
    </xf>
    <xf numFmtId="0" fontId="11" fillId="4" borderId="0" xfId="4" quotePrefix="1" applyFont="1" applyFill="1" applyBorder="1" applyAlignment="1">
      <alignment horizontal="center" vertical="center"/>
    </xf>
    <xf numFmtId="0" fontId="11" fillId="4" borderId="0" xfId="3" applyFont="1" applyFill="1" applyBorder="1">
      <alignment vertical="center"/>
    </xf>
    <xf numFmtId="0" fontId="11" fillId="2" borderId="0" xfId="3" applyFont="1" applyFill="1" applyBorder="1">
      <alignment vertical="center"/>
    </xf>
    <xf numFmtId="0" fontId="11" fillId="3" borderId="7" xfId="4" applyFont="1" applyFill="1" applyBorder="1" applyAlignment="1">
      <alignment horizontal="left" vertical="center" wrapText="1" indent="1"/>
    </xf>
    <xf numFmtId="3" fontId="11" fillId="2" borderId="7" xfId="8" applyFont="1" applyFill="1" applyBorder="1" applyAlignment="1">
      <alignment horizontal="center" vertical="center"/>
      <protection locked="0"/>
    </xf>
    <xf numFmtId="166" fontId="11" fillId="4" borderId="7" xfId="18" applyNumberFormat="1" applyFont="1" applyFill="1" applyBorder="1" applyAlignment="1">
      <alignment vertical="center"/>
    </xf>
    <xf numFmtId="0" fontId="12" fillId="0" borderId="11" xfId="4" applyFont="1" applyBorder="1">
      <alignment vertical="center"/>
    </xf>
    <xf numFmtId="0" fontId="12" fillId="2" borderId="0" xfId="6" applyFont="1" applyFill="1" applyBorder="1" applyAlignment="1">
      <alignment horizontal="left" vertical="center"/>
    </xf>
    <xf numFmtId="0" fontId="11" fillId="2" borderId="7" xfId="4" quotePrefix="1" applyFont="1" applyFill="1" applyBorder="1" applyAlignment="1">
      <alignment horizontal="center" vertical="center"/>
    </xf>
    <xf numFmtId="0" fontId="11" fillId="2" borderId="7" xfId="4"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4" quotePrefix="1" applyFont="1" applyFill="1" applyBorder="1" applyAlignment="1">
      <alignment horizontal="right" vertical="center"/>
    </xf>
    <xf numFmtId="0" fontId="19" fillId="2" borderId="0" xfId="4" applyFont="1" applyFill="1" applyBorder="1" applyAlignment="1">
      <alignment horizontal="left" vertical="center" wrapText="1" indent="1"/>
    </xf>
    <xf numFmtId="0" fontId="12" fillId="2" borderId="0" xfId="0" applyFont="1" applyFill="1" applyBorder="1"/>
    <xf numFmtId="0" fontId="11" fillId="2" borderId="0" xfId="4" applyFont="1" applyFill="1" applyBorder="1">
      <alignment vertical="center"/>
    </xf>
    <xf numFmtId="0" fontId="12" fillId="2" borderId="0" xfId="6" applyFont="1" applyFill="1" applyBorder="1" applyAlignment="1">
      <alignment vertical="center"/>
    </xf>
    <xf numFmtId="0" fontId="11" fillId="2" borderId="0" xfId="7" applyFont="1" applyFill="1" applyBorder="1" applyAlignment="1">
      <alignment horizontal="right" vertical="center" wrapText="1"/>
    </xf>
    <xf numFmtId="0" fontId="11" fillId="2" borderId="0" xfId="7" applyFont="1" applyFill="1" applyBorder="1" applyAlignment="1">
      <alignment horizontal="center" vertical="center" wrapText="1"/>
    </xf>
    <xf numFmtId="0" fontId="11" fillId="2" borderId="0" xfId="4" quotePrefix="1" applyFont="1" applyFill="1" applyBorder="1" applyAlignment="1">
      <alignment horizontal="center" vertical="center"/>
    </xf>
    <xf numFmtId="0" fontId="11" fillId="2" borderId="0" xfId="4" applyFont="1" applyFill="1" applyBorder="1" applyAlignment="1">
      <alignment horizontal="left" vertical="center" wrapText="1" indent="1"/>
    </xf>
    <xf numFmtId="3" fontId="11" fillId="2" borderId="0" xfId="8" applyFont="1" applyFill="1" applyBorder="1">
      <alignment horizontal="right" vertical="center"/>
      <protection locked="0"/>
    </xf>
    <xf numFmtId="0" fontId="11" fillId="2" borderId="0" xfId="4" applyFont="1" applyFill="1" applyBorder="1" applyAlignment="1">
      <alignment vertical="center" wrapText="1"/>
    </xf>
    <xf numFmtId="0" fontId="11" fillId="2" borderId="0" xfId="4" applyFont="1" applyFill="1" applyBorder="1" applyAlignment="1">
      <alignment vertical="center"/>
    </xf>
    <xf numFmtId="0" fontId="12" fillId="2" borderId="0" xfId="4" applyFont="1" applyFill="1" applyBorder="1">
      <alignment vertical="center"/>
    </xf>
    <xf numFmtId="0" fontId="11" fillId="2" borderId="7" xfId="4" applyFont="1" applyFill="1" applyBorder="1" applyAlignment="1">
      <alignment horizontal="left" vertical="center" wrapText="1" indent="1"/>
    </xf>
    <xf numFmtId="3" fontId="11" fillId="2" borderId="7" xfId="8" applyFont="1" applyFill="1" applyBorder="1">
      <alignment horizontal="right" vertical="center"/>
      <protection locked="0"/>
    </xf>
    <xf numFmtId="0" fontId="11" fillId="2" borderId="7" xfId="4" applyFont="1" applyFill="1" applyBorder="1" applyAlignment="1">
      <alignment horizontal="left" vertical="center" wrapText="1" indent="2"/>
    </xf>
    <xf numFmtId="0" fontId="11" fillId="2" borderId="7" xfId="3" applyFont="1" applyFill="1" applyBorder="1" applyAlignment="1">
      <alignment horizontal="left" vertical="center"/>
    </xf>
    <xf numFmtId="0" fontId="11" fillId="2" borderId="7" xfId="4" applyFont="1" applyFill="1" applyBorder="1" applyAlignment="1">
      <alignment horizontal="left" vertical="center"/>
    </xf>
    <xf numFmtId="0" fontId="11" fillId="2" borderId="7" xfId="4" quotePrefix="1" applyFont="1" applyFill="1" applyBorder="1" applyAlignment="1">
      <alignment horizontal="left" vertical="center"/>
    </xf>
    <xf numFmtId="3" fontId="11" fillId="2" borderId="7" xfId="8" applyFont="1" applyFill="1" applyBorder="1" applyAlignment="1">
      <alignment horizontal="left" vertical="center"/>
      <protection locked="0"/>
    </xf>
    <xf numFmtId="0" fontId="11" fillId="2" borderId="7" xfId="4" quotePrefix="1" applyFont="1" applyFill="1" applyBorder="1" applyAlignment="1">
      <alignment horizontal="right" vertical="center"/>
    </xf>
    <xf numFmtId="0" fontId="19" fillId="2" borderId="7" xfId="4" applyFont="1" applyFill="1" applyBorder="1" applyAlignment="1">
      <alignment horizontal="left" vertical="center" wrapText="1" indent="1"/>
    </xf>
    <xf numFmtId="0" fontId="11" fillId="2" borderId="7" xfId="4" applyFont="1" applyFill="1" applyBorder="1" applyAlignment="1">
      <alignment horizontal="left" vertical="center" wrapText="1"/>
    </xf>
    <xf numFmtId="0" fontId="11" fillId="2" borderId="7" xfId="4" quotePrefix="1" applyFont="1" applyFill="1" applyBorder="1" applyAlignment="1">
      <alignment vertical="center"/>
    </xf>
    <xf numFmtId="0" fontId="11" fillId="2" borderId="7" xfId="4" applyFont="1" applyFill="1" applyBorder="1" applyAlignment="1">
      <alignment vertical="center"/>
    </xf>
    <xf numFmtId="0" fontId="11" fillId="2" borderId="7" xfId="3" applyFont="1" applyFill="1" applyBorder="1" applyAlignment="1">
      <alignment vertical="center"/>
    </xf>
    <xf numFmtId="0" fontId="11" fillId="0" borderId="7" xfId="7" applyFont="1" applyFill="1" applyBorder="1" applyAlignment="1">
      <alignment vertical="center" wrapText="1"/>
    </xf>
    <xf numFmtId="166" fontId="13" fillId="2" borderId="5" xfId="18"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5" applyFont="1" applyFill="1" applyBorder="1" applyAlignment="1">
      <alignment vertical="center" wrapText="1"/>
    </xf>
    <xf numFmtId="0" fontId="11" fillId="13" borderId="7" xfId="5" applyFont="1" applyFill="1" applyBorder="1" applyAlignment="1">
      <alignment vertical="center"/>
    </xf>
    <xf numFmtId="0" fontId="12" fillId="13" borderId="7" xfId="5"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18" applyNumberFormat="1"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1" fillId="4" borderId="0" xfId="18" applyNumberFormat="1" applyFont="1" applyFill="1" applyAlignment="1">
      <alignment vertical="center"/>
    </xf>
    <xf numFmtId="166" fontId="0" fillId="2" borderId="0" xfId="18" applyNumberFormat="1" applyFont="1" applyFill="1"/>
    <xf numFmtId="178" fontId="51" fillId="0" borderId="37" xfId="17" applyNumberFormat="1" applyFont="1" applyFill="1" applyBorder="1" applyAlignment="1">
      <alignment vertical="center"/>
    </xf>
    <xf numFmtId="178" fontId="51" fillId="0" borderId="11" xfId="17" applyNumberFormat="1" applyFont="1" applyFill="1" applyBorder="1" applyAlignment="1">
      <alignment vertical="center"/>
    </xf>
    <xf numFmtId="178" fontId="52" fillId="0" borderId="37" xfId="17" applyNumberFormat="1" applyFont="1" applyFill="1" applyBorder="1" applyAlignment="1">
      <alignment vertical="center"/>
    </xf>
    <xf numFmtId="166" fontId="26" fillId="2" borderId="7" xfId="18"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52" fillId="0" borderId="0" xfId="0" applyFont="1" applyAlignment="1">
      <alignment horizontal="left" vertical="center" wrapText="1"/>
    </xf>
    <xf numFmtId="171" fontId="33" fillId="9" borderId="0" xfId="11"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xf numFmtId="9" fontId="11" fillId="7" borderId="7" xfId="1" quotePrefix="1" applyNumberFormat="1" applyFont="1" applyFill="1" applyBorder="1" applyAlignment="1">
      <alignment horizontal="right"/>
    </xf>
    <xf numFmtId="4" fontId="11" fillId="6" borderId="7" xfId="0" quotePrefix="1" applyNumberFormat="1" applyFont="1" applyFill="1" applyBorder="1" applyAlignment="1">
      <alignment horizontal="right"/>
    </xf>
    <xf numFmtId="4" fontId="19" fillId="6" borderId="7" xfId="0" quotePrefix="1" applyNumberFormat="1" applyFont="1" applyFill="1" applyBorder="1" applyAlignment="1">
      <alignment horizontal="right"/>
    </xf>
    <xf numFmtId="179" fontId="11" fillId="2" borderId="7" xfId="18" applyNumberFormat="1" applyFont="1" applyFill="1" applyBorder="1" applyAlignment="1">
      <alignment horizontal="right" vertical="top"/>
    </xf>
    <xf numFmtId="179" fontId="11" fillId="2" borderId="7" xfId="18" applyNumberFormat="1" applyFont="1" applyFill="1" applyBorder="1" applyAlignment="1">
      <alignment horizontal="right" vertical="top" wrapText="1"/>
    </xf>
    <xf numFmtId="166" fontId="13" fillId="3" borderId="7" xfId="0" applyNumberFormat="1" applyFont="1" applyFill="1" applyBorder="1" applyAlignment="1">
      <alignment horizontal="left" vertical="top" wrapText="1"/>
    </xf>
    <xf numFmtId="181" fontId="0" fillId="12" borderId="48" xfId="0" applyNumberFormat="1" applyFill="1" applyBorder="1" applyAlignment="1">
      <alignment horizontal="left" vertical="center" wrapText="1"/>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1" applyNumberFormat="1" applyFont="1" applyFill="1" applyBorder="1" applyAlignment="1">
      <alignment horizontal="center" vertical="center" wrapText="1"/>
    </xf>
    <xf numFmtId="171" fontId="33" fillId="10" borderId="4" xfId="11" applyNumberFormat="1" applyFont="1" applyFill="1" applyBorder="1" applyAlignment="1">
      <alignment horizontal="center" vertical="center" wrapText="1"/>
    </xf>
    <xf numFmtId="171" fontId="33" fillId="10" borderId="13" xfId="11" applyNumberFormat="1" applyFont="1" applyFill="1" applyBorder="1" applyAlignment="1">
      <alignment horizontal="center" vertical="center" wrapText="1"/>
    </xf>
    <xf numFmtId="0" fontId="33" fillId="10" borderId="0" xfId="0" applyFont="1" applyFill="1" applyAlignment="1">
      <alignment horizontal="left" vertical="center"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0" fontId="13" fillId="2" borderId="7" xfId="1" applyNumberFormat="1" applyFont="1" applyFill="1" applyBorder="1" applyAlignment="1">
      <alignment horizontal="right"/>
    </xf>
    <xf numFmtId="179" fontId="13" fillId="2" borderId="7" xfId="18"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25" fillId="4" borderId="0" xfId="3" applyFont="1" applyFill="1" applyAlignment="1">
      <alignment vertical="top"/>
    </xf>
    <xf numFmtId="0" fontId="13" fillId="0" borderId="0" xfId="0" applyFont="1" applyAlignment="1">
      <alignment vertical="top"/>
    </xf>
    <xf numFmtId="0" fontId="11" fillId="4" borderId="11" xfId="3"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1" xfId="3" applyFont="1" applyFill="1" applyBorder="1" applyAlignment="1">
      <alignment vertical="top"/>
    </xf>
    <xf numFmtId="0" fontId="11" fillId="0" borderId="0" xfId="0" applyFont="1" applyAlignment="1">
      <alignment vertical="top"/>
    </xf>
    <xf numFmtId="0" fontId="11" fillId="4" borderId="18" xfId="3"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3"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3"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11" fillId="0" borderId="5"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20"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20" xfId="4" applyFont="1" applyBorder="1" applyAlignment="1">
      <alignment horizontal="center" vertical="center" wrapText="1"/>
    </xf>
    <xf numFmtId="0" fontId="11" fillId="4" borderId="5" xfId="3" applyFont="1" applyFill="1" applyBorder="1" applyAlignment="1">
      <alignment horizontal="left" vertical="top" wrapText="1"/>
    </xf>
    <xf numFmtId="0" fontId="11" fillId="4" borderId="4" xfId="3" applyFont="1" applyFill="1" applyBorder="1" applyAlignment="1">
      <alignment horizontal="left" vertical="top" wrapText="1"/>
    </xf>
    <xf numFmtId="0" fontId="11" fillId="4" borderId="13" xfId="3" applyFont="1" applyFill="1" applyBorder="1" applyAlignment="1">
      <alignment horizontal="left" vertical="top" wrapText="1"/>
    </xf>
    <xf numFmtId="0" fontId="11" fillId="4" borderId="11" xfId="3" applyFont="1" applyFill="1" applyBorder="1" applyAlignment="1">
      <alignment horizontal="left" vertical="top" wrapText="1"/>
    </xf>
    <xf numFmtId="0" fontId="11" fillId="4" borderId="0" xfId="3" applyFont="1" applyFill="1" applyAlignment="1">
      <alignment horizontal="left" vertical="top" wrapText="1"/>
    </xf>
    <xf numFmtId="0" fontId="11" fillId="4" borderId="20" xfId="3" applyFont="1" applyFill="1" applyBorder="1" applyAlignment="1">
      <alignment horizontal="left" vertical="top" wrapText="1"/>
    </xf>
    <xf numFmtId="0" fontId="11" fillId="2" borderId="0" xfId="4"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4" applyFont="1" applyAlignment="1">
      <alignment horizontal="center" vertical="center"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7"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cellXfs>
  <cellStyles count="19">
    <cellStyle name="=C:\WINNT35\SYSTEM32\COMMAND.COM" xfId="4" xr:uid="{00000000-0005-0000-0000-000000000000}"/>
    <cellStyle name="Comma" xfId="18" xr:uid="{00000000-0005-0000-0000-000001000000}"/>
    <cellStyle name="Comma 10" xfId="12" xr:uid="{00000000-0005-0000-0000-000002000000}"/>
    <cellStyle name="Comma 2" xfId="17" xr:uid="{C2EAB1D6-727A-435A-9543-25F4728DA6C3}"/>
    <cellStyle name="Heading 1 2 3 5" xfId="5" xr:uid="{00000000-0005-0000-0000-000003000000}"/>
    <cellStyle name="Heading 2 2 3 5" xfId="6" xr:uid="{00000000-0005-0000-0000-000004000000}"/>
    <cellStyle name="HeadingTable" xfId="7" xr:uid="{00000000-0005-0000-0000-000005000000}"/>
    <cellStyle name="Hyperlink" xfId="2" builtinId="8"/>
    <cellStyle name="Komma 2" xfId="13" xr:uid="{00000000-0005-0000-0000-000007000000}"/>
    <cellStyle name="Komma 3" xfId="15" xr:uid="{00000000-0005-0000-0000-000008000000}"/>
    <cellStyle name="Normal" xfId="0" builtinId="0"/>
    <cellStyle name="Normal 12 3" xfId="9" xr:uid="{00000000-0005-0000-0000-00000A000000}"/>
    <cellStyle name="Normal 15" xfId="16" xr:uid="{00000000-0005-0000-0000-00000B000000}"/>
    <cellStyle name="Normal 2" xfId="10" xr:uid="{00000000-0005-0000-0000-00000C000000}"/>
    <cellStyle name="Normal 2 50 2" xfId="3" xr:uid="{00000000-0005-0000-0000-00000D000000}"/>
    <cellStyle name="Normal 30" xfId="11" xr:uid="{00000000-0005-0000-0000-00000E000000}"/>
    <cellStyle name="optionalExposure" xfId="8" xr:uid="{00000000-0005-0000-0000-00000F000000}"/>
    <cellStyle name="Percent" xfId="1" xr:uid="{00000000-0005-0000-0000-000010000000}"/>
    <cellStyle name="Prosent 11" xfId="14"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31.12.2020</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31.12.2020</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1.0 per cent at year-end. The requirement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s\Accounting\Regnskap\Perioderegnskap\Spread%20and%20interest%20rate%20risk\2021-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sheetName val="Holdings Desember 21"/>
      <sheetName val="Rpt2 Desember 21"/>
      <sheetName val="HOLDINGS November 21"/>
      <sheetName val="HOLDINGS Oktober 21"/>
      <sheetName val="HOLDINGS September 21"/>
      <sheetName val="HOLDINGS August 21"/>
      <sheetName val="HOLDINGS Juli 21"/>
      <sheetName val="HOLDINGS April 21"/>
      <sheetName val="HOLDINGS Mars 21"/>
      <sheetName val="HOLDINGS Februar 21"/>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sheetData sheetId="1">
        <row r="6">
          <cell r="I6">
            <v>382938984.02999997</v>
          </cell>
        </row>
        <row r="7">
          <cell r="I7">
            <v>98904166.379999995</v>
          </cell>
          <cell r="J7">
            <v>104400615.2</v>
          </cell>
          <cell r="Q7">
            <v>2967036.6258373884</v>
          </cell>
        </row>
        <row r="8">
          <cell r="I8">
            <v>100000000</v>
          </cell>
        </row>
        <row r="10">
          <cell r="I10">
            <v>127178757.51000001</v>
          </cell>
        </row>
        <row r="11">
          <cell r="I11">
            <v>62465355.760000005</v>
          </cell>
          <cell r="J11">
            <v>60339923.749999985</v>
          </cell>
          <cell r="Q11">
            <v>1554356.4357999996</v>
          </cell>
        </row>
        <row r="13">
          <cell r="I13">
            <v>67497291.289999992</v>
          </cell>
        </row>
        <row r="14">
          <cell r="I14">
            <v>35573418.840000004</v>
          </cell>
          <cell r="J14">
            <v>34316763.669999994</v>
          </cell>
          <cell r="Q14">
            <v>883999.83213919995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 Sales Report update 1 (2)"/>
      <sheetName val="Rullgardiner"/>
      <sheetName val="Budget"/>
      <sheetName val="Data"/>
      <sheetName val="Inc_bal M"/>
      <sheetName val="Inc_bal Q"/>
      <sheetName val="Inc_bal Y"/>
      <sheetName val="Inc_bal M (SE Loan)"/>
      <sheetName val="Inc_bal M (NO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2 Graphs"/>
      <sheetName val="2. Development"/>
      <sheetName val="3. Yield"/>
      <sheetName val="4. ROA"/>
      <sheetName val="5.1 OPEX"/>
      <sheetName val="5.2 Customers"/>
      <sheetName val="5.2.1 Data kunder"/>
      <sheetName val="5.3 Liq reporting"/>
      <sheetName val="6. Budgets"/>
      <sheetName val="7. Finance"/>
      <sheetName val="7.1 Finance KPI"/>
      <sheetName val="7.1.2 CL History"/>
      <sheetName val="7.2.1 Sales Report"/>
      <sheetName val="7.2.2 Sales Report update chrn"/>
      <sheetName val="7.2.3 Sales Report 10 pct"/>
      <sheetName val="7.2.3 Sales Report 5 pct"/>
      <sheetName val="8. Capital"/>
      <sheetName val="9. Defaulted loans"/>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ORBOF "/>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 val="202203"/>
      <sheetName val="2022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5">
          <cell r="BI45">
            <v>4585.0749253399999</v>
          </cell>
        </row>
        <row r="46">
          <cell r="BI46">
            <v>1974.0674512000003</v>
          </cell>
        </row>
        <row r="47">
          <cell r="BI47">
            <v>1660.9331842399999</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9">
          <cell r="BX79">
            <v>5263738.81079554</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topLeftCell="C1" zoomScale="115" zoomScaleNormal="115" workbookViewId="0">
      <selection activeCell="C2" sqref="C2"/>
    </sheetView>
  </sheetViews>
  <sheetFormatPr defaultColWidth="9.140625" defaultRowHeight="15" x14ac:dyDescent="0.25"/>
  <cols>
    <col min="1" max="1" width="2.7109375" style="3" customWidth="1"/>
    <col min="2" max="2" width="8.140625" style="279" bestFit="1" customWidth="1"/>
    <col min="3" max="3" width="131.85546875" style="3" customWidth="1"/>
    <col min="4" max="4" width="19" style="3" bestFit="1" customWidth="1"/>
    <col min="5" max="5" width="17.42578125" style="3" bestFit="1" customWidth="1"/>
    <col min="6" max="6" width="19.5703125" style="3" customWidth="1"/>
    <col min="7" max="16384" width="9.140625" style="3"/>
  </cols>
  <sheetData>
    <row r="1" spans="1:6" x14ac:dyDescent="0.25">
      <c r="B1" s="3"/>
      <c r="D1" s="1"/>
      <c r="E1" s="2"/>
    </row>
    <row r="2" spans="1:6" ht="26.25" x14ac:dyDescent="0.4">
      <c r="B2" s="3"/>
      <c r="C2" s="399" t="s">
        <v>513</v>
      </c>
      <c r="D2" s="247"/>
      <c r="E2" s="248"/>
    </row>
    <row r="3" spans="1:6" x14ac:dyDescent="0.25">
      <c r="A3" s="250"/>
      <c r="B3" s="250"/>
      <c r="C3" s="253"/>
      <c r="D3" s="250"/>
    </row>
    <row r="4" spans="1:6" x14ac:dyDescent="0.25">
      <c r="A4" s="250"/>
      <c r="B4" s="250"/>
      <c r="C4" s="250"/>
      <c r="D4" s="251"/>
      <c r="E4" s="252"/>
    </row>
    <row r="5" spans="1:6" ht="30" customHeight="1" x14ac:dyDescent="0.25">
      <c r="B5" s="278" t="s">
        <v>570</v>
      </c>
      <c r="C5" s="278" t="s">
        <v>571</v>
      </c>
      <c r="D5" s="281" t="s">
        <v>576</v>
      </c>
      <c r="E5" s="249" t="s">
        <v>572</v>
      </c>
      <c r="F5" s="280" t="s">
        <v>573</v>
      </c>
    </row>
    <row r="6" spans="1:6" x14ac:dyDescent="0.25">
      <c r="B6" s="279">
        <v>1</v>
      </c>
      <c r="C6" s="411" t="s">
        <v>511</v>
      </c>
      <c r="D6" s="4" t="s">
        <v>574</v>
      </c>
      <c r="E6" s="5" t="s">
        <v>0</v>
      </c>
      <c r="F6" s="413">
        <v>44651</v>
      </c>
    </row>
    <row r="7" spans="1:6" x14ac:dyDescent="0.25">
      <c r="B7" s="279">
        <f t="shared" ref="B7:B12" si="0">B6+1</f>
        <v>2</v>
      </c>
      <c r="C7" s="412" t="s">
        <v>521</v>
      </c>
      <c r="D7" s="4" t="s">
        <v>574</v>
      </c>
      <c r="E7" s="6" t="s">
        <v>0</v>
      </c>
      <c r="F7" s="413">
        <v>44651</v>
      </c>
    </row>
    <row r="8" spans="1:6" x14ac:dyDescent="0.25">
      <c r="B8" s="279">
        <f t="shared" si="0"/>
        <v>3</v>
      </c>
      <c r="C8" s="412" t="s">
        <v>522</v>
      </c>
      <c r="D8" s="4" t="s">
        <v>574</v>
      </c>
      <c r="E8" s="6" t="s">
        <v>0</v>
      </c>
      <c r="F8" s="413">
        <v>44651</v>
      </c>
    </row>
    <row r="9" spans="1:6" x14ac:dyDescent="0.25">
      <c r="B9" s="279">
        <f t="shared" si="0"/>
        <v>4</v>
      </c>
      <c r="C9" s="412" t="s">
        <v>534</v>
      </c>
      <c r="D9" s="4" t="s">
        <v>575</v>
      </c>
      <c r="E9" s="6" t="s">
        <v>0</v>
      </c>
      <c r="F9" s="413">
        <v>44651</v>
      </c>
    </row>
    <row r="10" spans="1:6" x14ac:dyDescent="0.25">
      <c r="B10" s="279">
        <f t="shared" si="0"/>
        <v>5</v>
      </c>
      <c r="C10" s="412" t="s">
        <v>472</v>
      </c>
      <c r="D10" s="4" t="s">
        <v>577</v>
      </c>
      <c r="E10" s="6" t="s">
        <v>1</v>
      </c>
      <c r="F10" s="413">
        <v>44561</v>
      </c>
    </row>
    <row r="11" spans="1:6" x14ac:dyDescent="0.25">
      <c r="B11" s="279">
        <f t="shared" si="0"/>
        <v>6</v>
      </c>
      <c r="C11" s="412" t="s">
        <v>497</v>
      </c>
      <c r="D11" s="4" t="s">
        <v>577</v>
      </c>
      <c r="E11" s="6" t="s">
        <v>1</v>
      </c>
      <c r="F11" s="413">
        <v>44561</v>
      </c>
    </row>
    <row r="12" spans="1:6" x14ac:dyDescent="0.25">
      <c r="B12" s="279">
        <f t="shared" si="0"/>
        <v>7</v>
      </c>
      <c r="C12" s="412" t="s">
        <v>3</v>
      </c>
      <c r="D12" s="4" t="s">
        <v>523</v>
      </c>
      <c r="E12" s="6" t="s">
        <v>1</v>
      </c>
      <c r="F12" s="413">
        <v>44561</v>
      </c>
    </row>
    <row r="13" spans="1:6" x14ac:dyDescent="0.25">
      <c r="B13" s="279">
        <f>B12+1</f>
        <v>8</v>
      </c>
      <c r="C13" s="412" t="s">
        <v>5</v>
      </c>
      <c r="D13" s="4" t="s">
        <v>4</v>
      </c>
      <c r="E13" s="6" t="s">
        <v>1</v>
      </c>
      <c r="F13" s="413">
        <v>44561</v>
      </c>
    </row>
    <row r="14" spans="1:6" x14ac:dyDescent="0.25">
      <c r="B14" s="279">
        <f t="shared" ref="B14:B23" si="1">B13+1</f>
        <v>9</v>
      </c>
      <c r="C14" s="412" t="s">
        <v>7</v>
      </c>
      <c r="D14" s="4" t="s">
        <v>6</v>
      </c>
      <c r="E14" s="6" t="s">
        <v>1</v>
      </c>
      <c r="F14" s="413">
        <v>44561</v>
      </c>
    </row>
    <row r="15" spans="1:6" x14ac:dyDescent="0.25">
      <c r="B15" s="279">
        <f t="shared" si="1"/>
        <v>10</v>
      </c>
      <c r="C15" s="412" t="s">
        <v>9</v>
      </c>
      <c r="D15" s="4" t="s">
        <v>8</v>
      </c>
      <c r="E15" s="6" t="s">
        <v>1</v>
      </c>
      <c r="F15" s="413">
        <v>44561</v>
      </c>
    </row>
    <row r="16" spans="1:6" x14ac:dyDescent="0.25">
      <c r="B16" s="279">
        <f t="shared" si="1"/>
        <v>11</v>
      </c>
      <c r="C16" s="412" t="s">
        <v>11</v>
      </c>
      <c r="D16" s="4" t="s">
        <v>10</v>
      </c>
      <c r="E16" s="6" t="s">
        <v>1</v>
      </c>
      <c r="F16" s="413">
        <v>44561</v>
      </c>
    </row>
    <row r="17" spans="2:6" x14ac:dyDescent="0.25">
      <c r="B17" s="279">
        <f t="shared" si="1"/>
        <v>12</v>
      </c>
      <c r="C17" s="412" t="s">
        <v>13</v>
      </c>
      <c r="D17" s="4" t="s">
        <v>12</v>
      </c>
      <c r="E17" s="6" t="s">
        <v>1</v>
      </c>
      <c r="F17" s="413">
        <v>44561</v>
      </c>
    </row>
    <row r="18" spans="2:6" x14ac:dyDescent="0.25">
      <c r="B18" s="279">
        <f t="shared" si="1"/>
        <v>13</v>
      </c>
      <c r="C18" s="412" t="s">
        <v>15</v>
      </c>
      <c r="D18" s="4" t="s">
        <v>14</v>
      </c>
      <c r="E18" s="6" t="s">
        <v>1</v>
      </c>
      <c r="F18" s="413">
        <v>44561</v>
      </c>
    </row>
    <row r="19" spans="2:6" x14ac:dyDescent="0.25">
      <c r="B19" s="279">
        <f t="shared" si="1"/>
        <v>14</v>
      </c>
      <c r="C19" s="412" t="s">
        <v>17</v>
      </c>
      <c r="D19" s="4" t="s">
        <v>16</v>
      </c>
      <c r="E19" s="6" t="s">
        <v>1</v>
      </c>
      <c r="F19" s="413">
        <v>44561</v>
      </c>
    </row>
    <row r="20" spans="2:6" x14ac:dyDescent="0.25">
      <c r="B20" s="279">
        <f t="shared" si="1"/>
        <v>15</v>
      </c>
      <c r="C20" s="412" t="s">
        <v>19</v>
      </c>
      <c r="D20" s="4" t="s">
        <v>18</v>
      </c>
      <c r="E20" s="6" t="s">
        <v>1</v>
      </c>
      <c r="F20" s="413">
        <v>44561</v>
      </c>
    </row>
    <row r="21" spans="2:6" x14ac:dyDescent="0.25">
      <c r="B21" s="279">
        <f t="shared" si="1"/>
        <v>16</v>
      </c>
      <c r="C21" s="412" t="s">
        <v>21</v>
      </c>
      <c r="D21" s="4" t="s">
        <v>20</v>
      </c>
      <c r="E21" s="6" t="s">
        <v>1</v>
      </c>
      <c r="F21" s="413">
        <v>44561</v>
      </c>
    </row>
    <row r="22" spans="2:6" x14ac:dyDescent="0.25">
      <c r="B22" s="279">
        <f t="shared" si="1"/>
        <v>17</v>
      </c>
      <c r="C22" s="412" t="s">
        <v>567</v>
      </c>
      <c r="D22" s="4" t="s">
        <v>565</v>
      </c>
      <c r="E22" s="6" t="s">
        <v>1</v>
      </c>
      <c r="F22" s="413">
        <v>44561</v>
      </c>
    </row>
    <row r="23" spans="2:6" x14ac:dyDescent="0.25">
      <c r="B23" s="279">
        <f t="shared" si="1"/>
        <v>18</v>
      </c>
      <c r="C23" s="412" t="s">
        <v>568</v>
      </c>
      <c r="D23" s="4" t="s">
        <v>566</v>
      </c>
      <c r="E23" s="6" t="s">
        <v>1</v>
      </c>
      <c r="F23" s="413">
        <v>44561</v>
      </c>
    </row>
    <row r="24" spans="2:6" x14ac:dyDescent="0.25">
      <c r="C24" s="411"/>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election activeCell="E35" sqref="E35"/>
    </sheetView>
  </sheetViews>
  <sheetFormatPr defaultColWidth="11.42578125" defaultRowHeight="11.25" x14ac:dyDescent="0.2"/>
  <cols>
    <col min="1" max="1" width="2.7109375" style="23" customWidth="1"/>
    <col min="2" max="2" width="10" style="36" customWidth="1"/>
    <col min="3" max="3" width="75.28515625" style="12" customWidth="1"/>
    <col min="4" max="5" width="13.7109375" style="12" customWidth="1"/>
    <col min="6" max="16384" width="11.42578125" style="12"/>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ht="12.75" customHeight="1" x14ac:dyDescent="0.2">
      <c r="A3" s="11"/>
      <c r="B3" s="457"/>
      <c r="C3" s="457"/>
      <c r="D3" s="457"/>
      <c r="E3" s="457"/>
      <c r="F3" s="457"/>
      <c r="G3" s="457"/>
      <c r="H3" s="457"/>
    </row>
    <row r="4" spans="1:11" s="10" customFormat="1" ht="5.0999999999999996" customHeight="1" x14ac:dyDescent="0.2">
      <c r="A4" s="7"/>
      <c r="B4" s="7"/>
      <c r="C4" s="7"/>
      <c r="D4" s="8"/>
      <c r="E4" s="342"/>
      <c r="F4" s="343"/>
      <c r="G4" s="9"/>
      <c r="H4" s="9"/>
      <c r="J4" s="7"/>
      <c r="K4" s="7"/>
    </row>
    <row r="5" spans="1:11" s="3" customFormat="1" ht="18" x14ac:dyDescent="0.25">
      <c r="A5" s="13"/>
      <c r="B5" s="136" t="s">
        <v>40</v>
      </c>
      <c r="E5" s="250"/>
      <c r="F5" s="250"/>
    </row>
    <row r="6" spans="1:11" x14ac:dyDescent="0.2">
      <c r="B6" s="35"/>
      <c r="C6" s="36"/>
      <c r="D6" s="36"/>
      <c r="E6" s="344"/>
      <c r="F6" s="344"/>
      <c r="G6" s="36"/>
      <c r="H6" s="36"/>
    </row>
    <row r="7" spans="1:11" x14ac:dyDescent="0.2">
      <c r="A7" s="14"/>
      <c r="B7" s="460" t="s">
        <v>22</v>
      </c>
      <c r="C7" s="461"/>
      <c r="D7" s="109" t="s">
        <v>23</v>
      </c>
      <c r="E7" s="346"/>
      <c r="F7" s="345"/>
      <c r="G7" s="38"/>
    </row>
    <row r="8" spans="1:11" x14ac:dyDescent="0.2">
      <c r="A8" s="14"/>
      <c r="B8" s="462"/>
      <c r="C8" s="463"/>
      <c r="D8" s="353">
        <v>44561</v>
      </c>
      <c r="E8" s="347"/>
      <c r="F8" s="345"/>
      <c r="G8" s="35"/>
    </row>
    <row r="9" spans="1:11" x14ac:dyDescent="0.2">
      <c r="A9" s="12"/>
      <c r="B9" s="39" t="s">
        <v>41</v>
      </c>
      <c r="C9" s="35"/>
      <c r="D9" s="340"/>
      <c r="E9" s="348"/>
      <c r="F9" s="345"/>
    </row>
    <row r="10" spans="1:11" ht="22.5" x14ac:dyDescent="0.2">
      <c r="A10" s="12"/>
      <c r="B10" s="40">
        <v>1</v>
      </c>
      <c r="C10" s="41" t="s">
        <v>42</v>
      </c>
      <c r="D10" s="429">
        <f>'8'!D8</f>
        <v>10105.487872109999</v>
      </c>
      <c r="E10" s="349"/>
      <c r="F10" s="345"/>
    </row>
    <row r="11" spans="1:11" x14ac:dyDescent="0.2">
      <c r="A11" s="12"/>
      <c r="B11" s="42">
        <v>2</v>
      </c>
      <c r="C11" s="41" t="s">
        <v>43</v>
      </c>
      <c r="D11" s="430"/>
      <c r="E11" s="349"/>
      <c r="F11" s="345"/>
    </row>
    <row r="12" spans="1:11" x14ac:dyDescent="0.2">
      <c r="A12" s="12"/>
      <c r="B12" s="42">
        <v>3</v>
      </c>
      <c r="C12" s="41" t="s">
        <v>44</v>
      </c>
      <c r="D12" s="430">
        <f>D10</f>
        <v>10105.487872109999</v>
      </c>
      <c r="E12" s="349"/>
      <c r="F12" s="345"/>
    </row>
    <row r="13" spans="1:11" x14ac:dyDescent="0.2">
      <c r="A13" s="12"/>
      <c r="B13" s="39" t="s">
        <v>45</v>
      </c>
      <c r="C13" s="43"/>
      <c r="D13" s="429"/>
      <c r="E13" s="350"/>
      <c r="F13" s="345"/>
    </row>
    <row r="14" spans="1:11" ht="22.5" x14ac:dyDescent="0.2">
      <c r="A14" s="12"/>
      <c r="B14" s="40">
        <v>4</v>
      </c>
      <c r="C14" s="41" t="s">
        <v>46</v>
      </c>
      <c r="D14" s="430"/>
      <c r="E14" s="349"/>
      <c r="F14" s="345"/>
    </row>
    <row r="15" spans="1:11" x14ac:dyDescent="0.2">
      <c r="A15" s="12"/>
      <c r="B15" s="40">
        <v>5</v>
      </c>
      <c r="C15" s="41" t="s">
        <v>47</v>
      </c>
      <c r="D15" s="430"/>
      <c r="E15" s="349"/>
      <c r="F15" s="345"/>
    </row>
    <row r="16" spans="1:11" ht="22.5" x14ac:dyDescent="0.2">
      <c r="A16" s="12"/>
      <c r="B16" s="40">
        <v>6</v>
      </c>
      <c r="C16" s="41" t="s">
        <v>48</v>
      </c>
      <c r="D16" s="430"/>
      <c r="E16" s="349"/>
      <c r="F16" s="345"/>
    </row>
    <row r="17" spans="1:6" x14ac:dyDescent="0.2">
      <c r="A17" s="12"/>
      <c r="B17" s="42">
        <v>7</v>
      </c>
      <c r="C17" s="41" t="s">
        <v>49</v>
      </c>
      <c r="D17" s="430"/>
      <c r="E17" s="349"/>
      <c r="F17" s="345"/>
    </row>
    <row r="18" spans="1:6" x14ac:dyDescent="0.2">
      <c r="A18" s="12"/>
      <c r="B18" s="42">
        <v>8</v>
      </c>
      <c r="C18" s="41" t="s">
        <v>50</v>
      </c>
      <c r="D18" s="430"/>
      <c r="E18" s="349"/>
      <c r="F18" s="345"/>
    </row>
    <row r="19" spans="1:6" x14ac:dyDescent="0.2">
      <c r="A19" s="12"/>
      <c r="B19" s="42">
        <v>9</v>
      </c>
      <c r="C19" s="41" t="s">
        <v>51</v>
      </c>
      <c r="D19" s="430"/>
      <c r="E19" s="349"/>
      <c r="F19" s="345"/>
    </row>
    <row r="20" spans="1:6" x14ac:dyDescent="0.2">
      <c r="A20" s="12"/>
      <c r="B20" s="42">
        <v>10</v>
      </c>
      <c r="C20" s="41" t="s">
        <v>52</v>
      </c>
      <c r="D20" s="430"/>
      <c r="E20" s="349"/>
      <c r="F20" s="345"/>
    </row>
    <row r="21" spans="1:6" x14ac:dyDescent="0.2">
      <c r="A21" s="12"/>
      <c r="B21" s="42">
        <v>11</v>
      </c>
      <c r="C21" s="41" t="s">
        <v>53</v>
      </c>
      <c r="D21" s="430"/>
      <c r="E21" s="349"/>
      <c r="F21" s="345"/>
    </row>
    <row r="22" spans="1:6" x14ac:dyDescent="0.2">
      <c r="A22" s="12"/>
      <c r="B22" s="39" t="s">
        <v>54</v>
      </c>
      <c r="C22" s="43"/>
      <c r="D22" s="429"/>
      <c r="E22" s="350"/>
      <c r="F22" s="345"/>
    </row>
    <row r="23" spans="1:6" x14ac:dyDescent="0.2">
      <c r="A23" s="12"/>
      <c r="B23" s="42">
        <v>12</v>
      </c>
      <c r="C23" s="41" t="s">
        <v>55</v>
      </c>
      <c r="D23" s="430"/>
      <c r="E23" s="349"/>
      <c r="F23" s="345"/>
    </row>
    <row r="24" spans="1:6" x14ac:dyDescent="0.2">
      <c r="A24" s="12"/>
      <c r="B24" s="42">
        <v>13</v>
      </c>
      <c r="C24" s="41" t="s">
        <v>56</v>
      </c>
      <c r="D24" s="430"/>
      <c r="E24" s="349"/>
      <c r="F24" s="345"/>
    </row>
    <row r="25" spans="1:6" x14ac:dyDescent="0.2">
      <c r="A25" s="12"/>
      <c r="B25" s="42">
        <v>14</v>
      </c>
      <c r="C25" s="41" t="s">
        <v>57</v>
      </c>
      <c r="D25" s="430"/>
      <c r="E25" s="349"/>
      <c r="F25" s="345"/>
    </row>
    <row r="26" spans="1:6" x14ac:dyDescent="0.2">
      <c r="A26" s="12"/>
      <c r="B26" s="42">
        <v>15</v>
      </c>
      <c r="C26" s="41" t="s">
        <v>58</v>
      </c>
      <c r="D26" s="430"/>
      <c r="E26" s="349"/>
      <c r="F26" s="345"/>
    </row>
    <row r="27" spans="1:6" x14ac:dyDescent="0.2">
      <c r="A27" s="12"/>
      <c r="B27" s="42">
        <v>16</v>
      </c>
      <c r="C27" s="41" t="s">
        <v>59</v>
      </c>
      <c r="D27" s="430"/>
      <c r="E27" s="349"/>
      <c r="F27" s="345"/>
    </row>
    <row r="28" spans="1:6" x14ac:dyDescent="0.2">
      <c r="A28" s="12"/>
      <c r="B28" s="39" t="s">
        <v>60</v>
      </c>
      <c r="C28" s="43"/>
      <c r="D28" s="429"/>
      <c r="E28" s="350"/>
      <c r="F28" s="345"/>
    </row>
    <row r="29" spans="1:6" x14ac:dyDescent="0.2">
      <c r="A29" s="12"/>
      <c r="B29" s="42">
        <v>17</v>
      </c>
      <c r="C29" s="41" t="s">
        <v>61</v>
      </c>
      <c r="D29" s="429">
        <f>'8'!D13</f>
        <v>5263.7388107955403</v>
      </c>
      <c r="E29" s="349"/>
      <c r="F29" s="345"/>
    </row>
    <row r="30" spans="1:6" x14ac:dyDescent="0.2">
      <c r="A30" s="12"/>
      <c r="B30" s="42">
        <v>18</v>
      </c>
      <c r="C30" s="41" t="s">
        <v>62</v>
      </c>
      <c r="D30" s="430"/>
      <c r="E30" s="349"/>
      <c r="F30" s="345"/>
    </row>
    <row r="31" spans="1:6" x14ac:dyDescent="0.2">
      <c r="A31" s="12"/>
      <c r="B31" s="42">
        <v>19</v>
      </c>
      <c r="C31" s="41" t="s">
        <v>63</v>
      </c>
      <c r="D31" s="430">
        <f>D29</f>
        <v>5263.7388107955403</v>
      </c>
      <c r="E31" s="349"/>
      <c r="F31" s="345"/>
    </row>
    <row r="32" spans="1:6" x14ac:dyDescent="0.2">
      <c r="A32" s="12"/>
      <c r="B32" s="39" t="s">
        <v>64</v>
      </c>
      <c r="C32" s="43"/>
      <c r="D32" s="429"/>
      <c r="E32" s="350"/>
      <c r="F32" s="345"/>
    </row>
    <row r="33" spans="1:7" x14ac:dyDescent="0.2">
      <c r="A33" s="12"/>
      <c r="B33" s="42">
        <v>20</v>
      </c>
      <c r="C33" s="41" t="s">
        <v>65</v>
      </c>
      <c r="D33" s="429">
        <f>'1'!J29</f>
        <v>1641.1316196980172</v>
      </c>
      <c r="E33" s="349"/>
      <c r="F33" s="345"/>
    </row>
    <row r="34" spans="1:7" x14ac:dyDescent="0.2">
      <c r="A34" s="12"/>
      <c r="B34" s="42">
        <v>21</v>
      </c>
      <c r="C34" s="41" t="s">
        <v>66</v>
      </c>
      <c r="D34" s="429">
        <f>D12+D31</f>
        <v>15369.226682905541</v>
      </c>
      <c r="E34" s="351"/>
      <c r="F34" s="345"/>
    </row>
    <row r="35" spans="1:7" x14ac:dyDescent="0.2">
      <c r="A35" s="12"/>
      <c r="B35" s="39" t="s">
        <v>67</v>
      </c>
      <c r="C35" s="43"/>
      <c r="D35" s="44"/>
      <c r="E35" s="352"/>
      <c r="F35" s="345"/>
    </row>
    <row r="36" spans="1:7" x14ac:dyDescent="0.2">
      <c r="A36" s="12"/>
      <c r="B36" s="42">
        <v>22</v>
      </c>
      <c r="C36" s="41" t="s">
        <v>68</v>
      </c>
      <c r="D36" s="341">
        <f>D33/D34</f>
        <v>0.10678036400643175</v>
      </c>
      <c r="E36" s="351"/>
      <c r="F36" s="345"/>
    </row>
    <row r="37" spans="1:7" x14ac:dyDescent="0.2">
      <c r="A37" s="12"/>
      <c r="B37" s="36" t="s">
        <v>69</v>
      </c>
      <c r="E37" s="345"/>
      <c r="F37" s="345"/>
      <c r="G37" s="45"/>
    </row>
    <row r="38" spans="1:7" x14ac:dyDescent="0.2">
      <c r="A38" s="12"/>
      <c r="E38" s="345"/>
      <c r="F38" s="345"/>
    </row>
    <row r="39" spans="1:7" ht="21" customHeight="1" x14ac:dyDescent="0.2">
      <c r="A39" s="12"/>
      <c r="E39" s="345"/>
      <c r="F39" s="345"/>
    </row>
    <row r="40" spans="1:7" ht="21" customHeight="1" x14ac:dyDescent="0.2">
      <c r="A40" s="12"/>
      <c r="E40" s="345"/>
      <c r="F40" s="345"/>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145" zoomScaleNormal="145" workbookViewId="0">
      <selection activeCell="G13" sqref="G13"/>
    </sheetView>
  </sheetViews>
  <sheetFormatPr defaultColWidth="11.42578125" defaultRowHeight="11.25" x14ac:dyDescent="0.2"/>
  <cols>
    <col min="1" max="1" width="2.7109375" style="23" customWidth="1"/>
    <col min="2" max="2" width="4.140625" style="16" customWidth="1"/>
    <col min="3" max="3" width="62.7109375" style="16" customWidth="1"/>
    <col min="4" max="5" width="13.7109375" style="16" customWidth="1"/>
    <col min="6"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s="3" customFormat="1" ht="18" x14ac:dyDescent="0.25">
      <c r="A5" s="13"/>
      <c r="B5" s="136" t="s">
        <v>70</v>
      </c>
    </row>
    <row r="7" spans="1:11" x14ac:dyDescent="0.2">
      <c r="A7" s="14"/>
      <c r="B7" s="464" t="s">
        <v>22</v>
      </c>
      <c r="C7" s="465"/>
      <c r="D7" s="46" t="s">
        <v>23</v>
      </c>
      <c r="E7" s="47" t="s">
        <v>24</v>
      </c>
    </row>
    <row r="8" spans="1:11" ht="33.75" x14ac:dyDescent="0.2">
      <c r="A8" s="14"/>
      <c r="B8" s="466"/>
      <c r="C8" s="467"/>
      <c r="D8" s="17" t="s">
        <v>71</v>
      </c>
      <c r="E8" s="48" t="s">
        <v>72</v>
      </c>
    </row>
    <row r="9" spans="1:11" x14ac:dyDescent="0.2">
      <c r="A9" s="12"/>
      <c r="B9" s="468" t="s">
        <v>73</v>
      </c>
      <c r="C9" s="469"/>
      <c r="D9" s="469"/>
      <c r="E9" s="470"/>
    </row>
    <row r="10" spans="1:11" x14ac:dyDescent="0.2">
      <c r="A10" s="12"/>
      <c r="B10" s="25">
        <v>1</v>
      </c>
      <c r="C10" s="15" t="s">
        <v>74</v>
      </c>
      <c r="D10" s="49"/>
      <c r="E10" s="50">
        <v>722.93029659820013</v>
      </c>
    </row>
    <row r="11" spans="1:11" x14ac:dyDescent="0.2">
      <c r="A11" s="12"/>
      <c r="B11" s="468" t="s">
        <v>75</v>
      </c>
      <c r="C11" s="469"/>
      <c r="D11" s="469"/>
      <c r="E11" s="470"/>
    </row>
    <row r="12" spans="1:11" x14ac:dyDescent="0.2">
      <c r="A12" s="12"/>
      <c r="B12" s="25">
        <v>2</v>
      </c>
      <c r="C12" s="15" t="s">
        <v>76</v>
      </c>
      <c r="D12" s="398">
        <v>7933.9034462099999</v>
      </c>
      <c r="E12" s="431"/>
    </row>
    <row r="13" spans="1:11" x14ac:dyDescent="0.2">
      <c r="A13" s="12"/>
      <c r="B13" s="25">
        <v>3</v>
      </c>
      <c r="C13" s="15" t="s">
        <v>77</v>
      </c>
      <c r="D13" s="18">
        <v>6242.2504346968117</v>
      </c>
      <c r="E13" s="50">
        <f>D13*5%</f>
        <v>312.11252173484058</v>
      </c>
    </row>
    <row r="14" spans="1:11" x14ac:dyDescent="0.2">
      <c r="A14" s="12"/>
      <c r="B14" s="25">
        <v>4</v>
      </c>
      <c r="C14" s="15" t="s">
        <v>78</v>
      </c>
      <c r="D14" s="18">
        <v>12.852880533071998</v>
      </c>
      <c r="E14" s="50">
        <f>D14*100%</f>
        <v>12.852880533071998</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1561.2636679217972</v>
      </c>
      <c r="E17" s="50">
        <f>D17*10%</f>
        <v>156.12636679217974</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2932.2715141162485</v>
      </c>
      <c r="E23" s="50">
        <f>D23*5%</f>
        <v>146.61357570581242</v>
      </c>
    </row>
    <row r="24" spans="1:5" x14ac:dyDescent="0.2">
      <c r="A24" s="12"/>
      <c r="B24" s="25">
        <v>14</v>
      </c>
      <c r="C24" s="15" t="s">
        <v>88</v>
      </c>
      <c r="D24" s="398">
        <f>(1267338033.05222+298806728.34)/1000000</f>
        <v>1566.1447613922201</v>
      </c>
      <c r="E24" s="50">
        <f>(1267338033.05222*5%+298806728.34*20%)/1000000</f>
        <v>123.128247320611</v>
      </c>
    </row>
    <row r="25" spans="1:5" x14ac:dyDescent="0.2">
      <c r="A25" s="12"/>
      <c r="B25" s="25">
        <v>15</v>
      </c>
      <c r="C25" s="15" t="s">
        <v>89</v>
      </c>
      <c r="D25" s="18"/>
      <c r="E25" s="50"/>
    </row>
    <row r="26" spans="1:5" x14ac:dyDescent="0.2">
      <c r="A26" s="12"/>
      <c r="B26" s="25">
        <v>16</v>
      </c>
      <c r="C26" s="15" t="s">
        <v>90</v>
      </c>
      <c r="D26" s="51"/>
      <c r="E26" s="52">
        <f>SUM(E13:E25)</f>
        <v>750.83359208651575</v>
      </c>
    </row>
    <row r="27" spans="1:5" x14ac:dyDescent="0.2">
      <c r="A27" s="12"/>
      <c r="B27" s="468" t="s">
        <v>91</v>
      </c>
      <c r="C27" s="469"/>
      <c r="D27" s="469"/>
      <c r="E27" s="470"/>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v>1383.2623189000008</v>
      </c>
      <c r="E30" s="52">
        <v>563.12519406488695</v>
      </c>
    </row>
    <row r="31" spans="1:5" x14ac:dyDescent="0.2">
      <c r="A31" s="12"/>
      <c r="B31" s="25">
        <v>20</v>
      </c>
      <c r="C31" s="15" t="s">
        <v>95</v>
      </c>
      <c r="D31" s="18">
        <f>D30</f>
        <v>1383.2623189000008</v>
      </c>
      <c r="E31" s="52">
        <f>E30</f>
        <v>563.12519406488695</v>
      </c>
    </row>
    <row r="32" spans="1:5" ht="22.5" x14ac:dyDescent="0.2">
      <c r="A32" s="12"/>
      <c r="B32" s="53"/>
      <c r="C32" s="54"/>
      <c r="D32" s="54"/>
      <c r="E32" s="48" t="s">
        <v>96</v>
      </c>
    </row>
    <row r="33" spans="1:6" x14ac:dyDescent="0.2">
      <c r="A33" s="12"/>
      <c r="B33" s="25">
        <v>21</v>
      </c>
      <c r="C33" s="15" t="s">
        <v>74</v>
      </c>
      <c r="D33" s="55"/>
      <c r="E33" s="50">
        <f>E10</f>
        <v>722.93029659820013</v>
      </c>
    </row>
    <row r="34" spans="1:6" x14ac:dyDescent="0.2">
      <c r="A34" s="12"/>
      <c r="B34" s="25">
        <v>22</v>
      </c>
      <c r="C34" s="15" t="s">
        <v>97</v>
      </c>
      <c r="D34" s="55"/>
      <c r="E34" s="50">
        <f>E26-E31</f>
        <v>187.7083980216288</v>
      </c>
      <c r="F34" s="32"/>
    </row>
    <row r="35" spans="1:6" x14ac:dyDescent="0.2">
      <c r="A35" s="12"/>
      <c r="B35" s="30">
        <v>23</v>
      </c>
      <c r="C35" s="19" t="s">
        <v>98</v>
      </c>
      <c r="D35" s="56"/>
      <c r="E35" s="57">
        <f>E33/E34</f>
        <v>3.8513476446317556</v>
      </c>
    </row>
    <row r="36" spans="1:6" x14ac:dyDescent="0.2">
      <c r="A36" s="12"/>
    </row>
    <row r="37" spans="1:6" x14ac:dyDescent="0.2">
      <c r="A37" s="12"/>
    </row>
    <row r="38" spans="1:6" x14ac:dyDescent="0.2">
      <c r="A38" s="12"/>
    </row>
    <row r="39" spans="1:6" x14ac:dyDescent="0.2">
      <c r="A39" s="12"/>
      <c r="C39" s="58"/>
    </row>
    <row r="40" spans="1:6" x14ac:dyDescent="0.2">
      <c r="A40" s="12"/>
    </row>
    <row r="41" spans="1:6" x14ac:dyDescent="0.2">
      <c r="A41" s="12"/>
    </row>
    <row r="42" spans="1:6" x14ac:dyDescent="0.2">
      <c r="A42" s="12"/>
    </row>
    <row r="43" spans="1:6" x14ac:dyDescent="0.2">
      <c r="A43" s="12"/>
    </row>
    <row r="44" spans="1:6" x14ac:dyDescent="0.2">
      <c r="A44" s="12"/>
    </row>
    <row r="45" spans="1:6" x14ac:dyDescent="0.2">
      <c r="A45" s="12"/>
    </row>
    <row r="46" spans="1:6" x14ac:dyDescent="0.2">
      <c r="A46" s="12"/>
    </row>
    <row r="47" spans="1:6" x14ac:dyDescent="0.2">
      <c r="A47" s="12"/>
    </row>
    <row r="48" spans="1:6"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x14ac:dyDescent="0.2">
      <c r="A71" s="20"/>
    </row>
    <row r="72" spans="1:5" x14ac:dyDescent="0.2">
      <c r="A72" s="20"/>
    </row>
    <row r="73" spans="1:5" x14ac:dyDescent="0.2">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K33" sqref="K33"/>
    </sheetView>
  </sheetViews>
  <sheetFormatPr defaultColWidth="8.85546875" defaultRowHeight="11.25" x14ac:dyDescent="0.25"/>
  <cols>
    <col min="1" max="1" width="2.7109375" style="23" customWidth="1"/>
    <col min="2" max="2" width="11.5703125" style="59" customWidth="1"/>
    <col min="3" max="3" width="50.85546875" style="59" customWidth="1"/>
    <col min="4" max="11" width="15.7109375" style="59" customWidth="1"/>
    <col min="12" max="12" width="13.7109375" style="59" customWidth="1"/>
    <col min="13" max="13" width="9.5703125" style="59" bestFit="1" customWidth="1"/>
    <col min="14" max="16384" width="8.85546875" style="59"/>
  </cols>
  <sheetData>
    <row r="1" spans="1:36" s="10" customFormat="1" ht="11.25" customHeight="1" x14ac:dyDescent="0.2">
      <c r="A1" s="7"/>
      <c r="B1" s="7"/>
      <c r="C1" s="7"/>
      <c r="D1" s="8"/>
      <c r="E1" s="8"/>
      <c r="F1" s="9"/>
      <c r="G1" s="9"/>
      <c r="H1" s="9"/>
    </row>
    <row r="2" spans="1:36" s="10" customFormat="1" ht="5.25" customHeight="1" x14ac:dyDescent="0.2">
      <c r="A2" s="7"/>
      <c r="B2" s="7"/>
      <c r="C2" s="7"/>
      <c r="D2" s="8"/>
      <c r="E2" s="8"/>
      <c r="F2" s="9"/>
      <c r="G2" s="9"/>
      <c r="H2" s="9"/>
    </row>
    <row r="3" spans="1:36" s="12" customFormat="1" ht="12.75" customHeight="1" x14ac:dyDescent="0.2">
      <c r="A3" s="11"/>
      <c r="B3" s="457"/>
      <c r="C3" s="457"/>
      <c r="D3" s="457"/>
      <c r="E3" s="457"/>
      <c r="F3" s="457"/>
      <c r="G3" s="457"/>
      <c r="H3" s="457"/>
    </row>
    <row r="4" spans="1:36" s="10" customFormat="1" ht="5.0999999999999996" customHeight="1" x14ac:dyDescent="0.2">
      <c r="A4" s="7"/>
      <c r="B4" s="7"/>
      <c r="C4" s="7"/>
      <c r="D4" s="8"/>
      <c r="E4" s="8"/>
      <c r="F4" s="9"/>
      <c r="G4" s="9"/>
      <c r="H4" s="9"/>
      <c r="J4" s="7"/>
      <c r="K4" s="7"/>
    </row>
    <row r="5" spans="1:36" s="3" customFormat="1" ht="18" x14ac:dyDescent="0.25">
      <c r="A5" s="13"/>
      <c r="B5" s="136" t="s">
        <v>514</v>
      </c>
    </row>
    <row r="6" spans="1:36" ht="11.25" customHeight="1" x14ac:dyDescent="0.25">
      <c r="F6" s="60"/>
      <c r="G6" s="60"/>
      <c r="H6" s="60"/>
      <c r="I6" s="60"/>
      <c r="J6" s="60"/>
      <c r="K6" s="60"/>
    </row>
    <row r="7" spans="1:36" x14ac:dyDescent="0.2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x14ac:dyDescent="0.2">
      <c r="A9" s="12"/>
      <c r="B9" s="64"/>
      <c r="C9" s="65"/>
      <c r="D9" s="488"/>
      <c r="E9" s="489"/>
      <c r="F9" s="492"/>
      <c r="G9" s="493"/>
      <c r="H9" s="488"/>
      <c r="I9" s="489"/>
      <c r="J9" s="492"/>
      <c r="K9" s="493"/>
    </row>
    <row r="10" spans="1:36" s="66" customFormat="1" x14ac:dyDescent="0.2">
      <c r="A10" s="12"/>
      <c r="B10" s="366" t="s">
        <v>655</v>
      </c>
      <c r="C10" s="68"/>
      <c r="D10" s="490"/>
      <c r="E10" s="491"/>
      <c r="F10" s="494"/>
      <c r="G10" s="495"/>
      <c r="H10" s="490"/>
      <c r="I10" s="491"/>
      <c r="J10" s="494"/>
      <c r="K10" s="495"/>
    </row>
    <row r="11" spans="1:36" s="66" customFormat="1" ht="15" x14ac:dyDescent="0.2">
      <c r="A11" s="12"/>
      <c r="B11" s="67"/>
      <c r="C11" s="69"/>
      <c r="D11" s="471" t="s">
        <v>99</v>
      </c>
      <c r="E11" s="471"/>
      <c r="F11" s="471"/>
      <c r="G11" s="471" t="s">
        <v>100</v>
      </c>
      <c r="H11" s="471"/>
      <c r="I11" s="471" t="s">
        <v>101</v>
      </c>
      <c r="J11" s="471"/>
      <c r="K11" s="471"/>
      <c r="L11" s="471" t="s">
        <v>102</v>
      </c>
      <c r="M11" s="471"/>
    </row>
    <row r="12" spans="1:36" s="66" customFormat="1" ht="60" x14ac:dyDescent="0.2">
      <c r="A12" s="12"/>
      <c r="B12" s="71"/>
      <c r="C12" s="68"/>
      <c r="D12" s="354"/>
      <c r="E12" s="355" t="s">
        <v>640</v>
      </c>
      <c r="F12" s="355" t="s">
        <v>641</v>
      </c>
      <c r="G12" s="354"/>
      <c r="H12" s="355" t="s">
        <v>641</v>
      </c>
      <c r="I12" s="354"/>
      <c r="J12" s="355" t="s">
        <v>640</v>
      </c>
      <c r="K12" s="355" t="s">
        <v>641</v>
      </c>
      <c r="L12" s="354"/>
      <c r="M12" s="432" t="s">
        <v>641</v>
      </c>
      <c r="N12" s="359"/>
      <c r="O12" s="359"/>
      <c r="P12" s="359"/>
    </row>
    <row r="13" spans="1:36" x14ac:dyDescent="0.2">
      <c r="A13" s="12"/>
      <c r="B13" s="73" t="s">
        <v>642</v>
      </c>
      <c r="C13" s="363" t="s">
        <v>643</v>
      </c>
      <c r="D13" s="363">
        <v>10</v>
      </c>
      <c r="E13" s="363">
        <v>20</v>
      </c>
      <c r="F13" s="363">
        <v>30</v>
      </c>
      <c r="G13" s="363">
        <v>40</v>
      </c>
      <c r="H13" s="363">
        <v>50</v>
      </c>
      <c r="I13" s="363">
        <v>60</v>
      </c>
      <c r="J13" s="363">
        <v>70</v>
      </c>
      <c r="K13" s="363">
        <v>80</v>
      </c>
      <c r="L13" s="363">
        <v>90</v>
      </c>
      <c r="M13" s="363">
        <v>100</v>
      </c>
      <c r="N13" s="360"/>
      <c r="O13" s="361"/>
      <c r="P13" s="361"/>
    </row>
    <row r="14" spans="1:36" x14ac:dyDescent="0.2">
      <c r="A14" s="12"/>
      <c r="B14" s="357">
        <v>10</v>
      </c>
      <c r="C14" s="356" t="s">
        <v>111</v>
      </c>
      <c r="D14" s="365">
        <v>0</v>
      </c>
      <c r="E14" s="365">
        <v>0</v>
      </c>
      <c r="F14" s="365">
        <v>0</v>
      </c>
      <c r="G14" s="365">
        <v>0</v>
      </c>
      <c r="H14" s="365">
        <v>0</v>
      </c>
      <c r="I14" s="365">
        <v>2414.6980078899996</v>
      </c>
      <c r="J14" s="365">
        <v>0</v>
      </c>
      <c r="K14" s="365">
        <v>868.97594622999998</v>
      </c>
      <c r="L14" s="365">
        <v>0</v>
      </c>
      <c r="M14" s="365">
        <v>0</v>
      </c>
      <c r="N14" s="360"/>
      <c r="O14" s="361"/>
      <c r="P14" s="361"/>
    </row>
    <row r="15" spans="1:36" x14ac:dyDescent="0.2">
      <c r="A15" s="12"/>
      <c r="B15" s="358">
        <v>20</v>
      </c>
      <c r="C15" s="356" t="s">
        <v>644</v>
      </c>
      <c r="D15" s="365">
        <v>0</v>
      </c>
      <c r="E15" s="365"/>
      <c r="F15" s="365">
        <v>0</v>
      </c>
      <c r="G15" s="365">
        <v>0</v>
      </c>
      <c r="H15" s="365">
        <v>0</v>
      </c>
      <c r="I15" s="365">
        <v>1516.96162729</v>
      </c>
      <c r="J15" s="365">
        <v>0</v>
      </c>
      <c r="K15" s="365">
        <v>0</v>
      </c>
      <c r="L15" s="365">
        <v>0</v>
      </c>
      <c r="M15" s="365">
        <v>0</v>
      </c>
      <c r="N15" s="360"/>
      <c r="O15" s="361"/>
      <c r="P15" s="361"/>
    </row>
    <row r="16" spans="1:36" x14ac:dyDescent="0.2">
      <c r="A16" s="12"/>
      <c r="B16" s="358">
        <v>30</v>
      </c>
      <c r="C16" s="356" t="s">
        <v>645</v>
      </c>
      <c r="D16" s="365">
        <v>0</v>
      </c>
      <c r="E16" s="365">
        <v>0</v>
      </c>
      <c r="F16" s="365">
        <v>0</v>
      </c>
      <c r="G16" s="365">
        <v>0</v>
      </c>
      <c r="H16" s="365">
        <v>0</v>
      </c>
      <c r="I16" s="365">
        <v>0</v>
      </c>
      <c r="J16" s="365">
        <v>0</v>
      </c>
      <c r="K16" s="365">
        <v>0</v>
      </c>
      <c r="L16" s="365">
        <v>0</v>
      </c>
      <c r="M16" s="365">
        <v>0</v>
      </c>
      <c r="N16" s="360"/>
      <c r="O16" s="361"/>
      <c r="P16" s="361"/>
    </row>
    <row r="17" spans="1:36" x14ac:dyDescent="0.2">
      <c r="A17" s="12"/>
      <c r="B17" s="358">
        <v>40</v>
      </c>
      <c r="C17" s="356" t="s">
        <v>646</v>
      </c>
      <c r="D17" s="365">
        <v>0</v>
      </c>
      <c r="E17" s="365">
        <v>0</v>
      </c>
      <c r="F17" s="365">
        <v>0</v>
      </c>
      <c r="G17" s="365">
        <v>0</v>
      </c>
      <c r="H17" s="365">
        <v>0</v>
      </c>
      <c r="I17" s="365">
        <v>868.97594622999998</v>
      </c>
      <c r="J17" s="365">
        <v>0</v>
      </c>
      <c r="K17" s="365">
        <v>868.97594622999998</v>
      </c>
      <c r="L17" s="365">
        <v>868.97594622999998</v>
      </c>
      <c r="M17" s="365">
        <v>868.97594622999998</v>
      </c>
      <c r="N17" s="360"/>
      <c r="O17" s="361"/>
      <c r="P17" s="361"/>
    </row>
    <row r="18" spans="1:36" x14ac:dyDescent="0.2">
      <c r="A18" s="12"/>
      <c r="B18" s="358">
        <v>50</v>
      </c>
      <c r="C18" s="356" t="s">
        <v>647</v>
      </c>
      <c r="D18" s="365">
        <v>0</v>
      </c>
      <c r="E18" s="365">
        <v>0</v>
      </c>
      <c r="F18" s="365">
        <v>0</v>
      </c>
      <c r="G18" s="365">
        <v>0</v>
      </c>
      <c r="H18" s="365">
        <v>0</v>
      </c>
      <c r="I18" s="365">
        <v>113.00650662000001</v>
      </c>
      <c r="J18" s="365">
        <v>0</v>
      </c>
      <c r="K18" s="365">
        <v>113.00650662000001</v>
      </c>
      <c r="L18" s="365">
        <v>113.00650662000001</v>
      </c>
      <c r="M18" s="365">
        <v>113.00650662000001</v>
      </c>
      <c r="N18" s="360"/>
      <c r="O18" s="361"/>
      <c r="P18" s="361"/>
    </row>
    <row r="19" spans="1:36" x14ac:dyDescent="0.2">
      <c r="A19" s="12"/>
      <c r="B19" s="358">
        <v>60</v>
      </c>
      <c r="C19" s="356" t="s">
        <v>648</v>
      </c>
      <c r="D19" s="365">
        <v>0</v>
      </c>
      <c r="E19" s="365">
        <v>0</v>
      </c>
      <c r="F19" s="365">
        <v>0</v>
      </c>
      <c r="G19" s="365">
        <v>0</v>
      </c>
      <c r="H19" s="365">
        <v>0</v>
      </c>
      <c r="I19" s="365">
        <v>0</v>
      </c>
      <c r="J19" s="365">
        <v>0</v>
      </c>
      <c r="K19" s="365">
        <v>0</v>
      </c>
      <c r="L19" s="365">
        <v>0</v>
      </c>
      <c r="M19" s="365">
        <v>0</v>
      </c>
      <c r="N19" s="360"/>
      <c r="O19" s="361"/>
      <c r="P19" s="361"/>
    </row>
    <row r="20" spans="1:36" x14ac:dyDescent="0.2">
      <c r="A20" s="12"/>
      <c r="B20" s="358">
        <v>70</v>
      </c>
      <c r="C20" s="356" t="s">
        <v>649</v>
      </c>
      <c r="D20" s="365">
        <v>0</v>
      </c>
      <c r="E20" s="365">
        <v>0</v>
      </c>
      <c r="F20" s="365">
        <v>0</v>
      </c>
      <c r="G20" s="365">
        <v>0</v>
      </c>
      <c r="H20" s="365">
        <v>0</v>
      </c>
      <c r="I20" s="365">
        <v>755.96943960999999</v>
      </c>
      <c r="J20" s="365">
        <v>0</v>
      </c>
      <c r="K20" s="365">
        <v>755.96943960999999</v>
      </c>
      <c r="L20" s="365">
        <v>755.96943960999999</v>
      </c>
      <c r="M20" s="365">
        <v>755.96943960999999</v>
      </c>
      <c r="N20" s="360"/>
      <c r="O20" s="361"/>
      <c r="P20" s="361"/>
    </row>
    <row r="21" spans="1:36" x14ac:dyDescent="0.2">
      <c r="A21" s="12"/>
      <c r="B21" s="358">
        <v>80</v>
      </c>
      <c r="C21" s="356" t="s">
        <v>650</v>
      </c>
      <c r="D21" s="365">
        <v>0</v>
      </c>
      <c r="E21" s="365">
        <v>0</v>
      </c>
      <c r="F21" s="365">
        <v>0</v>
      </c>
      <c r="G21" s="365">
        <v>0</v>
      </c>
      <c r="H21" s="365">
        <v>0</v>
      </c>
      <c r="I21" s="365">
        <v>0</v>
      </c>
      <c r="J21" s="365">
        <v>0</v>
      </c>
      <c r="K21" s="365">
        <v>0</v>
      </c>
      <c r="L21" s="365">
        <v>0</v>
      </c>
      <c r="M21" s="365">
        <v>0</v>
      </c>
      <c r="N21" s="360"/>
      <c r="O21" s="361"/>
      <c r="P21" s="361"/>
    </row>
    <row r="22" spans="1:36" x14ac:dyDescent="0.2">
      <c r="A22" s="12"/>
      <c r="B22" s="358">
        <v>90</v>
      </c>
      <c r="C22" s="356" t="s">
        <v>651</v>
      </c>
      <c r="D22" s="365">
        <v>0</v>
      </c>
      <c r="E22" s="365">
        <v>0</v>
      </c>
      <c r="F22" s="365">
        <v>0</v>
      </c>
      <c r="G22" s="365">
        <v>0</v>
      </c>
      <c r="H22" s="365">
        <v>0</v>
      </c>
      <c r="I22" s="365">
        <v>0</v>
      </c>
      <c r="J22" s="365">
        <v>0</v>
      </c>
      <c r="K22" s="365">
        <v>0</v>
      </c>
      <c r="L22" s="365">
        <v>0</v>
      </c>
      <c r="M22" s="365">
        <v>0</v>
      </c>
      <c r="N22" s="360"/>
      <c r="O22" s="361"/>
      <c r="P22" s="361"/>
    </row>
    <row r="23" spans="1:36" x14ac:dyDescent="0.2">
      <c r="A23" s="12"/>
      <c r="B23" s="358">
        <v>100</v>
      </c>
      <c r="C23" s="356" t="s">
        <v>652</v>
      </c>
      <c r="D23" s="365">
        <v>0</v>
      </c>
      <c r="E23" s="365">
        <v>0</v>
      </c>
      <c r="F23" s="365">
        <v>0</v>
      </c>
      <c r="G23" s="365">
        <v>0</v>
      </c>
      <c r="H23" s="365">
        <v>0</v>
      </c>
      <c r="I23" s="365">
        <v>0</v>
      </c>
      <c r="J23" s="365">
        <v>0</v>
      </c>
      <c r="K23" s="365">
        <v>0</v>
      </c>
      <c r="L23" s="365">
        <v>0</v>
      </c>
      <c r="M23" s="365">
        <v>0</v>
      </c>
      <c r="N23" s="360"/>
      <c r="O23" s="361"/>
      <c r="P23" s="361"/>
    </row>
    <row r="24" spans="1:36" x14ac:dyDescent="0.2">
      <c r="A24" s="12"/>
      <c r="B24" s="358">
        <v>110</v>
      </c>
      <c r="C24" s="356" t="s">
        <v>653</v>
      </c>
      <c r="D24" s="365">
        <v>0</v>
      </c>
      <c r="E24" s="365">
        <v>0</v>
      </c>
      <c r="F24" s="365">
        <v>0</v>
      </c>
      <c r="G24" s="365">
        <v>0</v>
      </c>
      <c r="H24" s="365">
        <v>0</v>
      </c>
      <c r="I24" s="365">
        <v>0</v>
      </c>
      <c r="J24" s="365">
        <v>0</v>
      </c>
      <c r="K24" s="365">
        <v>0</v>
      </c>
      <c r="L24" s="365">
        <v>0</v>
      </c>
      <c r="M24" s="365">
        <v>0</v>
      </c>
      <c r="N24" s="360"/>
      <c r="O24" s="361"/>
      <c r="P24" s="361"/>
    </row>
    <row r="25" spans="1:36" x14ac:dyDescent="0.2">
      <c r="A25" s="12"/>
      <c r="B25" s="358">
        <v>120</v>
      </c>
      <c r="C25" s="356" t="s">
        <v>654</v>
      </c>
      <c r="D25" s="365">
        <v>0</v>
      </c>
      <c r="E25" s="365">
        <v>0</v>
      </c>
      <c r="F25" s="365">
        <v>0</v>
      </c>
      <c r="G25" s="365">
        <v>0</v>
      </c>
      <c r="H25" s="365">
        <v>0</v>
      </c>
      <c r="I25" s="365">
        <v>28.760434370000002</v>
      </c>
      <c r="J25" s="365">
        <v>0</v>
      </c>
      <c r="K25" s="365">
        <v>0</v>
      </c>
      <c r="L25" s="365">
        <v>0</v>
      </c>
      <c r="M25" s="365">
        <v>0</v>
      </c>
      <c r="N25" s="361"/>
      <c r="O25" s="361"/>
      <c r="P25" s="361"/>
    </row>
    <row r="26" spans="1:36" s="78" customFormat="1" x14ac:dyDescent="0.2">
      <c r="A26" s="12"/>
      <c r="B26" s="76"/>
      <c r="C26" s="77"/>
      <c r="D26" s="75"/>
      <c r="E26" s="75"/>
      <c r="F26" s="75"/>
      <c r="G26" s="75"/>
      <c r="H26" s="75"/>
      <c r="I26" s="75"/>
      <c r="J26" s="75"/>
      <c r="N26" s="362"/>
      <c r="O26" s="362"/>
      <c r="P26" s="362"/>
    </row>
    <row r="27" spans="1:36" s="63" customFormat="1" x14ac:dyDescent="0.2">
      <c r="A27" s="12"/>
      <c r="B27" s="373"/>
      <c r="C27" s="367"/>
      <c r="D27" s="367"/>
      <c r="E27" s="367"/>
      <c r="F27" s="367"/>
      <c r="G27" s="367"/>
      <c r="H27" s="62"/>
      <c r="J27" s="59"/>
      <c r="K27" s="59"/>
      <c r="L27" s="59"/>
      <c r="M27" s="59"/>
      <c r="N27" s="361"/>
      <c r="O27" s="361"/>
      <c r="P27" s="361"/>
      <c r="Q27" s="59"/>
      <c r="R27" s="59"/>
      <c r="S27" s="59"/>
      <c r="T27" s="59"/>
      <c r="U27" s="59"/>
      <c r="V27" s="59"/>
      <c r="W27" s="59"/>
      <c r="X27" s="59"/>
      <c r="Y27" s="59"/>
      <c r="Z27" s="59"/>
      <c r="AA27" s="59"/>
      <c r="AB27" s="59"/>
      <c r="AC27" s="59"/>
      <c r="AD27" s="59"/>
      <c r="AE27" s="59"/>
      <c r="AF27" s="59"/>
      <c r="AG27" s="59"/>
      <c r="AH27" s="59"/>
      <c r="AI27" s="59"/>
      <c r="AJ27" s="59"/>
    </row>
    <row r="28" spans="1:36" s="66" customFormat="1" x14ac:dyDescent="0.2">
      <c r="A28" s="12"/>
      <c r="B28" s="383" t="s">
        <v>117</v>
      </c>
      <c r="C28" s="375"/>
      <c r="D28" s="382"/>
      <c r="E28" s="382"/>
      <c r="F28" s="502"/>
      <c r="G28" s="503"/>
      <c r="H28" s="370"/>
      <c r="I28" s="79"/>
      <c r="N28" s="359"/>
      <c r="O28" s="359"/>
      <c r="P28" s="359"/>
    </row>
    <row r="29" spans="1:36" s="66" customFormat="1" ht="36.75" customHeight="1" x14ac:dyDescent="0.2">
      <c r="A29" s="12"/>
      <c r="B29" s="374"/>
      <c r="D29" s="381" t="s">
        <v>117</v>
      </c>
      <c r="E29" s="382"/>
      <c r="F29" s="502"/>
      <c r="G29" s="502"/>
      <c r="H29" s="504"/>
      <c r="N29" s="359"/>
      <c r="O29" s="359"/>
      <c r="P29" s="359"/>
    </row>
    <row r="30" spans="1:36" s="66" customFormat="1" x14ac:dyDescent="0.2">
      <c r="A30" s="12"/>
      <c r="B30" s="73" t="s">
        <v>643</v>
      </c>
      <c r="C30" s="363" t="s">
        <v>642</v>
      </c>
      <c r="D30" s="363">
        <v>10</v>
      </c>
      <c r="E30" s="376"/>
      <c r="F30" s="377"/>
      <c r="G30" s="376"/>
      <c r="H30" s="504"/>
    </row>
    <row r="31" spans="1:36" s="66" customFormat="1" x14ac:dyDescent="0.2">
      <c r="A31" s="12"/>
      <c r="B31" s="387">
        <v>10</v>
      </c>
      <c r="C31" s="388" t="s">
        <v>656</v>
      </c>
      <c r="D31" s="368"/>
      <c r="E31" s="378"/>
      <c r="F31" s="378"/>
      <c r="G31" s="378"/>
      <c r="H31" s="80"/>
    </row>
    <row r="32" spans="1:36" x14ac:dyDescent="0.2">
      <c r="A32" s="12"/>
      <c r="B32" s="389">
        <v>20</v>
      </c>
      <c r="C32" s="384" t="s">
        <v>657</v>
      </c>
      <c r="D32" s="390"/>
      <c r="E32" s="380"/>
      <c r="F32" s="380"/>
      <c r="G32" s="380"/>
      <c r="H32" s="74"/>
      <c r="L32" s="414"/>
    </row>
    <row r="33" spans="1:10" x14ac:dyDescent="0.2">
      <c r="A33" s="12"/>
      <c r="B33" s="389">
        <v>30</v>
      </c>
      <c r="C33" s="386" t="s">
        <v>658</v>
      </c>
      <c r="D33" s="390"/>
      <c r="E33" s="380"/>
      <c r="F33" s="380"/>
      <c r="G33" s="380"/>
      <c r="H33" s="74"/>
    </row>
    <row r="34" spans="1:10" x14ac:dyDescent="0.2">
      <c r="A34" s="12"/>
      <c r="B34" s="389">
        <v>40</v>
      </c>
      <c r="C34" s="386" t="s">
        <v>659</v>
      </c>
      <c r="D34" s="390"/>
      <c r="E34" s="380"/>
      <c r="F34" s="380"/>
      <c r="G34" s="380"/>
      <c r="H34" s="74"/>
    </row>
    <row r="35" spans="1:10" x14ac:dyDescent="0.2">
      <c r="A35" s="12"/>
      <c r="B35" s="389">
        <v>50</v>
      </c>
      <c r="C35" s="386" t="s">
        <v>660</v>
      </c>
      <c r="D35" s="390"/>
      <c r="E35" s="380"/>
      <c r="F35" s="380"/>
      <c r="G35" s="380"/>
      <c r="H35" s="74"/>
    </row>
    <row r="36" spans="1:10" s="78" customFormat="1" x14ac:dyDescent="0.2">
      <c r="A36" s="12"/>
      <c r="B36" s="389">
        <v>60</v>
      </c>
      <c r="C36" s="369" t="s">
        <v>661</v>
      </c>
      <c r="D36" s="390"/>
      <c r="E36" s="380"/>
      <c r="F36" s="380"/>
      <c r="G36" s="380"/>
      <c r="H36" s="74"/>
    </row>
    <row r="37" spans="1:10" s="78" customFormat="1" x14ac:dyDescent="0.2">
      <c r="A37" s="12"/>
      <c r="B37" s="389">
        <v>70</v>
      </c>
      <c r="C37" s="369" t="s">
        <v>662</v>
      </c>
      <c r="D37" s="390"/>
      <c r="E37" s="380"/>
      <c r="F37" s="380"/>
      <c r="G37" s="380"/>
      <c r="H37" s="74"/>
    </row>
    <row r="38" spans="1:10" s="78" customFormat="1" x14ac:dyDescent="0.2">
      <c r="A38" s="12"/>
      <c r="B38" s="389">
        <v>80</v>
      </c>
      <c r="C38" s="369" t="s">
        <v>661</v>
      </c>
      <c r="D38" s="390"/>
      <c r="E38" s="380"/>
      <c r="F38" s="380"/>
      <c r="G38" s="380"/>
      <c r="H38" s="74"/>
    </row>
    <row r="39" spans="1:10" s="78" customFormat="1" x14ac:dyDescent="0.2">
      <c r="A39" s="12"/>
      <c r="B39" s="389">
        <v>90</v>
      </c>
      <c r="C39" s="369" t="s">
        <v>663</v>
      </c>
      <c r="D39" s="390"/>
      <c r="E39" s="380"/>
      <c r="F39" s="380"/>
      <c r="G39" s="380"/>
      <c r="H39" s="74"/>
    </row>
    <row r="40" spans="1:10" s="78" customFormat="1" x14ac:dyDescent="0.2">
      <c r="A40" s="12"/>
      <c r="B40" s="389">
        <v>100</v>
      </c>
      <c r="C40" s="369" t="s">
        <v>664</v>
      </c>
      <c r="D40" s="390"/>
      <c r="E40" s="380"/>
      <c r="F40" s="380"/>
      <c r="G40" s="380"/>
      <c r="H40" s="74"/>
    </row>
    <row r="41" spans="1:10" s="78" customFormat="1" x14ac:dyDescent="0.2">
      <c r="A41" s="12"/>
      <c r="B41" s="389">
        <v>110</v>
      </c>
      <c r="C41" s="386" t="s">
        <v>665</v>
      </c>
      <c r="D41" s="390"/>
      <c r="E41" s="380"/>
      <c r="F41" s="380"/>
      <c r="G41" s="380"/>
      <c r="H41" s="74"/>
    </row>
    <row r="42" spans="1:10" s="78" customFormat="1" x14ac:dyDescent="0.2">
      <c r="A42" s="12"/>
      <c r="B42" s="389">
        <v>120</v>
      </c>
      <c r="C42" s="386" t="s">
        <v>666</v>
      </c>
      <c r="D42" s="390"/>
      <c r="E42" s="380"/>
      <c r="F42" s="380"/>
      <c r="G42" s="380"/>
      <c r="H42" s="74"/>
    </row>
    <row r="43" spans="1:10" s="78" customFormat="1" x14ac:dyDescent="0.2">
      <c r="A43" s="12"/>
      <c r="B43" s="389">
        <v>170</v>
      </c>
      <c r="C43" s="369" t="s">
        <v>667</v>
      </c>
      <c r="D43" s="390"/>
      <c r="E43" s="380"/>
      <c r="F43" s="380"/>
      <c r="G43" s="380"/>
      <c r="H43" s="74"/>
    </row>
    <row r="44" spans="1:10" s="78" customFormat="1" x14ac:dyDescent="0.2">
      <c r="A44" s="12"/>
      <c r="B44" s="378"/>
      <c r="C44" s="379"/>
      <c r="D44" s="380"/>
      <c r="E44" s="380"/>
      <c r="F44" s="380"/>
      <c r="G44" s="380"/>
      <c r="H44" s="74"/>
    </row>
    <row r="45" spans="1:10" s="78" customFormat="1" x14ac:dyDescent="0.2">
      <c r="A45" s="12"/>
      <c r="B45" s="378"/>
      <c r="C45" s="379"/>
      <c r="D45" s="75"/>
      <c r="E45" s="75"/>
      <c r="F45" s="75"/>
      <c r="G45" s="75"/>
      <c r="H45" s="74"/>
    </row>
    <row r="46" spans="1:10" x14ac:dyDescent="0.2">
      <c r="A46" s="12"/>
      <c r="B46" s="378"/>
      <c r="C46" s="379"/>
      <c r="D46" s="75" t="s">
        <v>116</v>
      </c>
      <c r="E46" s="75"/>
      <c r="F46" s="75"/>
      <c r="G46" s="75"/>
      <c r="H46" s="74"/>
    </row>
    <row r="47" spans="1:10" s="78" customFormat="1" x14ac:dyDescent="0.2">
      <c r="A47" s="12"/>
      <c r="B47" s="371"/>
      <c r="C47" s="372"/>
      <c r="D47" s="75"/>
      <c r="E47" s="75"/>
      <c r="F47" s="75"/>
      <c r="G47" s="75"/>
      <c r="H47" s="75"/>
      <c r="I47" s="75"/>
      <c r="J47" s="75"/>
    </row>
    <row r="48" spans="1:10" s="78" customFormat="1" x14ac:dyDescent="0.2">
      <c r="A48" s="12"/>
      <c r="B48" s="391"/>
      <c r="C48" s="392"/>
      <c r="D48" s="364"/>
      <c r="E48" s="364"/>
      <c r="F48" s="75"/>
      <c r="G48" s="75"/>
      <c r="H48" s="75"/>
      <c r="I48" s="75"/>
      <c r="J48" s="75"/>
    </row>
    <row r="49" spans="1:11" x14ac:dyDescent="0.2">
      <c r="A49" s="12"/>
      <c r="B49" s="400" t="s">
        <v>642</v>
      </c>
      <c r="C49" s="401" t="s">
        <v>643</v>
      </c>
      <c r="D49" s="402">
        <v>10</v>
      </c>
      <c r="E49" s="403"/>
      <c r="F49" s="61"/>
      <c r="G49" s="61"/>
      <c r="H49" s="61"/>
      <c r="I49" s="61"/>
      <c r="J49" s="61"/>
      <c r="K49" s="61"/>
    </row>
    <row r="50" spans="1:11" s="66" customFormat="1" ht="62.25" customHeight="1" x14ac:dyDescent="0.2">
      <c r="A50" s="12"/>
      <c r="B50" s="388">
        <v>10</v>
      </c>
      <c r="C50" s="395" t="s">
        <v>668</v>
      </c>
      <c r="D50" s="70"/>
      <c r="E50" s="397"/>
      <c r="G50" s="82"/>
    </row>
    <row r="51" spans="1:11" s="66" customFormat="1" x14ac:dyDescent="0.2">
      <c r="A51" s="12"/>
      <c r="B51" s="388">
        <v>30</v>
      </c>
      <c r="C51" s="395" t="s">
        <v>669</v>
      </c>
      <c r="D51" s="70"/>
      <c r="E51" s="397"/>
      <c r="G51" s="82"/>
    </row>
    <row r="52" spans="1:11" s="66" customFormat="1" x14ac:dyDescent="0.2">
      <c r="A52" s="12"/>
      <c r="B52" s="387">
        <v>50</v>
      </c>
      <c r="C52" s="395" t="s">
        <v>670</v>
      </c>
      <c r="D52" s="72"/>
      <c r="E52" s="72"/>
      <c r="G52" s="80"/>
    </row>
    <row r="53" spans="1:11" x14ac:dyDescent="0.2">
      <c r="A53" s="12"/>
      <c r="B53" s="388">
        <v>70</v>
      </c>
      <c r="C53" s="396" t="s">
        <v>671</v>
      </c>
      <c r="D53" s="385"/>
      <c r="E53" s="81"/>
      <c r="G53" s="74"/>
    </row>
    <row r="54" spans="1:11" x14ac:dyDescent="0.2">
      <c r="A54" s="12"/>
      <c r="B54" s="393">
        <v>90</v>
      </c>
      <c r="C54" s="394" t="s">
        <v>672</v>
      </c>
      <c r="D54" s="385"/>
      <c r="E54" s="81"/>
      <c r="G54" s="74"/>
    </row>
    <row r="55" spans="1:11" x14ac:dyDescent="0.2">
      <c r="A55" s="12"/>
      <c r="B55" s="393">
        <v>110</v>
      </c>
      <c r="C55" s="394" t="s">
        <v>673</v>
      </c>
      <c r="D55" s="385"/>
      <c r="E55" s="81"/>
      <c r="G55" s="74"/>
    </row>
    <row r="56" spans="1:11" x14ac:dyDescent="0.2">
      <c r="A56" s="12"/>
      <c r="B56" s="393">
        <v>130</v>
      </c>
      <c r="C56" s="394" t="s">
        <v>674</v>
      </c>
      <c r="D56" s="385"/>
      <c r="E56" s="81"/>
      <c r="G56" s="74"/>
    </row>
    <row r="57" spans="1:11" x14ac:dyDescent="0.2">
      <c r="A57" s="12"/>
      <c r="B57" s="393">
        <v>150</v>
      </c>
      <c r="C57" s="394" t="s">
        <v>675</v>
      </c>
      <c r="D57" s="385"/>
      <c r="E57" s="81"/>
      <c r="G57" s="74"/>
    </row>
    <row r="58" spans="1:11" x14ac:dyDescent="0.2">
      <c r="A58" s="12"/>
      <c r="B58" s="393">
        <v>170</v>
      </c>
      <c r="C58" s="394" t="s">
        <v>676</v>
      </c>
      <c r="D58" s="385"/>
      <c r="E58" s="81"/>
      <c r="G58" s="74"/>
    </row>
    <row r="59" spans="1:11" x14ac:dyDescent="0.2">
      <c r="A59" s="12"/>
      <c r="B59" s="83"/>
      <c r="C59" s="84"/>
    </row>
    <row r="60" spans="1:11" x14ac:dyDescent="0.2">
      <c r="A60" s="12"/>
      <c r="B60" s="12"/>
    </row>
    <row r="61" spans="1:11" x14ac:dyDescent="0.25">
      <c r="B61" s="85" t="s">
        <v>119</v>
      </c>
      <c r="D61" s="59" t="s">
        <v>120</v>
      </c>
      <c r="E61" s="59" t="s">
        <v>121</v>
      </c>
      <c r="K61" s="59" t="s">
        <v>122</v>
      </c>
    </row>
    <row r="62" spans="1:11" x14ac:dyDescent="0.2">
      <c r="A62" s="12"/>
    </row>
    <row r="63" spans="1:11" ht="11.25" customHeight="1" x14ac:dyDescent="0.2">
      <c r="A63" s="12"/>
      <c r="B63" s="496"/>
      <c r="C63" s="497"/>
      <c r="D63" s="497"/>
      <c r="E63" s="497"/>
      <c r="F63" s="497"/>
      <c r="G63" s="497"/>
      <c r="H63" s="497"/>
      <c r="I63" s="498"/>
    </row>
    <row r="64" spans="1:11" x14ac:dyDescent="0.2">
      <c r="A64" s="12"/>
      <c r="B64" s="499"/>
      <c r="C64" s="500"/>
      <c r="D64" s="500"/>
      <c r="E64" s="500"/>
      <c r="F64" s="500"/>
      <c r="G64" s="500"/>
      <c r="H64" s="500"/>
      <c r="I64" s="501"/>
    </row>
    <row r="65" spans="1:9" x14ac:dyDescent="0.2">
      <c r="A65" s="12"/>
      <c r="B65" s="499"/>
      <c r="C65" s="500"/>
      <c r="D65" s="500"/>
      <c r="E65" s="500"/>
      <c r="F65" s="500"/>
      <c r="G65" s="500"/>
      <c r="H65" s="500"/>
      <c r="I65" s="501"/>
    </row>
    <row r="66" spans="1:9" x14ac:dyDescent="0.2">
      <c r="A66" s="12"/>
      <c r="B66" s="499"/>
      <c r="C66" s="500"/>
      <c r="D66" s="500"/>
      <c r="E66" s="500"/>
      <c r="F66" s="500"/>
      <c r="G66" s="500"/>
      <c r="H66" s="500"/>
      <c r="I66" s="501"/>
    </row>
    <row r="67" spans="1:9" x14ac:dyDescent="0.2">
      <c r="A67" s="12"/>
      <c r="B67" s="499"/>
      <c r="C67" s="500"/>
      <c r="D67" s="500"/>
      <c r="E67" s="500"/>
      <c r="F67" s="500"/>
      <c r="G67" s="500"/>
      <c r="H67" s="500"/>
      <c r="I67" s="501"/>
    </row>
    <row r="68" spans="1:9" x14ac:dyDescent="0.25">
      <c r="B68" s="86"/>
      <c r="C68" s="87"/>
      <c r="D68" s="87"/>
      <c r="E68" s="87"/>
      <c r="F68" s="87"/>
      <c r="G68" s="87"/>
      <c r="H68" s="87"/>
      <c r="I68" s="88"/>
    </row>
    <row r="69" spans="1:9" x14ac:dyDescent="0.25">
      <c r="B69" s="474"/>
      <c r="C69" s="483"/>
      <c r="D69" s="483"/>
      <c r="E69" s="483"/>
      <c r="F69" s="483"/>
      <c r="G69" s="483"/>
      <c r="H69" s="483"/>
      <c r="I69" s="476"/>
    </row>
    <row r="70" spans="1:9" x14ac:dyDescent="0.25">
      <c r="B70" s="86"/>
      <c r="C70" s="89"/>
      <c r="D70" s="89"/>
      <c r="E70" s="89"/>
      <c r="F70" s="89"/>
      <c r="G70" s="89"/>
      <c r="H70" s="89"/>
      <c r="I70" s="90"/>
    </row>
    <row r="71" spans="1:9" x14ac:dyDescent="0.25">
      <c r="B71" s="91"/>
      <c r="C71" s="89"/>
      <c r="D71" s="89"/>
      <c r="E71" s="89"/>
      <c r="F71" s="89"/>
      <c r="G71" s="89"/>
      <c r="H71" s="89"/>
      <c r="I71" s="90"/>
    </row>
    <row r="72" spans="1:9" x14ac:dyDescent="0.25">
      <c r="B72" s="91"/>
      <c r="C72" s="89"/>
      <c r="D72" s="89"/>
      <c r="E72" s="89"/>
      <c r="F72" s="89"/>
      <c r="G72" s="89"/>
      <c r="H72" s="89"/>
      <c r="I72" s="90"/>
    </row>
    <row r="73" spans="1:9" x14ac:dyDescent="0.25">
      <c r="B73" s="474"/>
      <c r="C73" s="475"/>
      <c r="D73" s="475"/>
      <c r="E73" s="475"/>
      <c r="F73" s="475"/>
      <c r="G73" s="475"/>
      <c r="H73" s="475"/>
      <c r="I73" s="487"/>
    </row>
    <row r="74" spans="1:9" x14ac:dyDescent="0.25">
      <c r="A74" s="20"/>
      <c r="B74" s="477"/>
      <c r="C74" s="478"/>
      <c r="D74" s="478"/>
      <c r="E74" s="478"/>
      <c r="F74" s="478"/>
      <c r="G74" s="478"/>
      <c r="H74" s="478"/>
      <c r="I74" s="92"/>
    </row>
    <row r="75" spans="1:9" x14ac:dyDescent="0.25">
      <c r="A75" s="20"/>
      <c r="B75" s="474"/>
      <c r="C75" s="475"/>
      <c r="D75" s="475"/>
      <c r="E75" s="475"/>
      <c r="F75" s="475"/>
      <c r="G75" s="475"/>
      <c r="H75" s="475"/>
      <c r="I75" s="476"/>
    </row>
    <row r="76" spans="1:9" x14ac:dyDescent="0.2">
      <c r="A76" s="21"/>
      <c r="B76" s="474"/>
      <c r="C76" s="475"/>
      <c r="D76" s="475"/>
      <c r="E76" s="475"/>
      <c r="F76" s="475"/>
      <c r="G76" s="475"/>
      <c r="H76" s="475"/>
      <c r="I76" s="476"/>
    </row>
    <row r="77" spans="1:9" x14ac:dyDescent="0.2">
      <c r="A77" s="12"/>
      <c r="B77" s="477"/>
      <c r="C77" s="478"/>
      <c r="D77" s="478"/>
      <c r="E77" s="478"/>
      <c r="F77" s="478"/>
      <c r="G77" s="478"/>
      <c r="H77" s="478"/>
      <c r="I77" s="476"/>
    </row>
    <row r="78" spans="1:9" x14ac:dyDescent="0.2">
      <c r="A78" s="12"/>
      <c r="B78" s="477"/>
      <c r="C78" s="478"/>
      <c r="D78" s="478"/>
      <c r="E78" s="478"/>
      <c r="F78" s="478"/>
      <c r="G78" s="478"/>
      <c r="H78" s="478"/>
      <c r="I78" s="476"/>
    </row>
    <row r="79" spans="1:9" x14ac:dyDescent="0.2">
      <c r="A79" s="12"/>
      <c r="B79" s="479"/>
      <c r="C79" s="480"/>
      <c r="D79" s="480"/>
      <c r="E79" s="480"/>
      <c r="F79" s="480"/>
      <c r="G79" s="480"/>
      <c r="H79" s="480"/>
      <c r="I79" s="481"/>
    </row>
    <row r="80" spans="1:9" x14ac:dyDescent="0.2">
      <c r="A80" s="12"/>
      <c r="B80" s="482"/>
      <c r="C80" s="478"/>
      <c r="D80" s="478"/>
      <c r="E80" s="478"/>
      <c r="F80" s="478"/>
      <c r="G80" s="478"/>
      <c r="H80" s="478"/>
      <c r="I80" s="483"/>
    </row>
    <row r="81" spans="1:9" x14ac:dyDescent="0.2">
      <c r="A81" s="12"/>
      <c r="B81" s="482"/>
      <c r="C81" s="482"/>
      <c r="D81" s="482"/>
      <c r="E81" s="482"/>
      <c r="F81" s="482"/>
      <c r="G81" s="482"/>
      <c r="H81" s="482"/>
      <c r="I81" s="483"/>
    </row>
    <row r="82" spans="1:9" x14ac:dyDescent="0.2">
      <c r="A82" s="12"/>
      <c r="B82" s="482"/>
      <c r="C82" s="482"/>
      <c r="D82" s="482"/>
      <c r="E82" s="482"/>
      <c r="F82" s="482"/>
      <c r="G82" s="482"/>
      <c r="H82" s="482"/>
      <c r="I82" s="484"/>
    </row>
    <row r="83" spans="1:9" x14ac:dyDescent="0.2">
      <c r="A83" s="12"/>
      <c r="B83" s="485"/>
      <c r="C83" s="485"/>
      <c r="D83" s="485"/>
      <c r="E83" s="485"/>
      <c r="F83" s="485"/>
      <c r="G83" s="485"/>
      <c r="H83" s="485"/>
      <c r="I83" s="486"/>
    </row>
    <row r="84" spans="1:9" x14ac:dyDescent="0.2">
      <c r="A84" s="12"/>
      <c r="B84" s="485"/>
      <c r="C84" s="485"/>
      <c r="D84" s="485"/>
      <c r="E84" s="485"/>
      <c r="F84" s="485"/>
      <c r="G84" s="485"/>
      <c r="H84" s="485"/>
      <c r="I84" s="486"/>
    </row>
    <row r="85" spans="1:9" x14ac:dyDescent="0.2">
      <c r="A85" s="22"/>
      <c r="B85" s="472"/>
      <c r="C85" s="473"/>
      <c r="D85" s="473"/>
      <c r="E85" s="473"/>
      <c r="F85" s="473"/>
      <c r="G85" s="473"/>
      <c r="H85" s="473"/>
    </row>
    <row r="86" spans="1:9" x14ac:dyDescent="0.2">
      <c r="A86" s="22"/>
      <c r="B86" s="472"/>
      <c r="C86" s="473"/>
      <c r="D86" s="473"/>
      <c r="E86" s="473"/>
      <c r="F86" s="473"/>
      <c r="G86" s="473"/>
      <c r="H86" s="473"/>
    </row>
    <row r="87" spans="1:9" x14ac:dyDescent="0.2">
      <c r="A87" s="22"/>
      <c r="B87" s="472"/>
      <c r="C87" s="473"/>
      <c r="D87" s="473"/>
      <c r="E87" s="473"/>
      <c r="F87" s="473"/>
      <c r="G87" s="473"/>
      <c r="H87" s="473"/>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B74:H74"/>
    <mergeCell ref="B3:H3"/>
    <mergeCell ref="D9:E10"/>
    <mergeCell ref="F9:G10"/>
    <mergeCell ref="H9:I10"/>
    <mergeCell ref="B63:I67"/>
    <mergeCell ref="D11:F11"/>
    <mergeCell ref="G11:H11"/>
    <mergeCell ref="I11:K11"/>
    <mergeCell ref="J9:K10"/>
    <mergeCell ref="F28:G28"/>
    <mergeCell ref="F29:G29"/>
    <mergeCell ref="H29:H30"/>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F10" sqref="F10"/>
    </sheetView>
  </sheetViews>
  <sheetFormatPr defaultColWidth="11.42578125" defaultRowHeight="15" x14ac:dyDescent="0.25"/>
  <cols>
    <col min="1" max="1" width="2.7109375" style="23" customWidth="1"/>
    <col min="2" max="2" width="4.140625" style="3" customWidth="1"/>
    <col min="3" max="3" width="35.7109375" style="3" customWidth="1"/>
    <col min="4" max="8" width="11.5703125" style="3" bestFit="1" customWidth="1"/>
    <col min="9" max="9" width="12.140625" style="3" bestFit="1" customWidth="1"/>
    <col min="10"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ht="18" x14ac:dyDescent="0.25">
      <c r="A5" s="13"/>
      <c r="B5" s="136" t="s">
        <v>133</v>
      </c>
    </row>
    <row r="6" spans="1:11" ht="11.25" customHeight="1" x14ac:dyDescent="0.25">
      <c r="A6" s="14"/>
      <c r="B6" s="101"/>
      <c r="C6" s="101"/>
      <c r="D6" s="101"/>
      <c r="E6" s="101"/>
      <c r="F6" s="101"/>
      <c r="G6" s="101"/>
      <c r="H6" s="101"/>
      <c r="I6" s="101"/>
    </row>
    <row r="7" spans="1:11" ht="11.25" customHeight="1" x14ac:dyDescent="0.25">
      <c r="A7" s="14"/>
      <c r="B7" s="505"/>
      <c r="C7" s="506"/>
      <c r="D7" s="509" t="s">
        <v>134</v>
      </c>
      <c r="E7" s="509"/>
      <c r="F7" s="509"/>
      <c r="G7" s="509"/>
      <c r="H7" s="509"/>
      <c r="I7" s="509"/>
    </row>
    <row r="8" spans="1:11" ht="22.5" x14ac:dyDescent="0.25">
      <c r="A8" s="12"/>
      <c r="B8" s="507"/>
      <c r="C8" s="508"/>
      <c r="D8" s="102" t="s">
        <v>135</v>
      </c>
      <c r="E8" s="102" t="s">
        <v>136</v>
      </c>
      <c r="F8" s="102" t="s">
        <v>137</v>
      </c>
      <c r="G8" s="102" t="s">
        <v>138</v>
      </c>
      <c r="H8" s="102" t="s">
        <v>139</v>
      </c>
      <c r="I8" s="102" t="s">
        <v>30</v>
      </c>
    </row>
    <row r="9" spans="1:11" ht="11.25" customHeight="1" x14ac:dyDescent="0.25">
      <c r="A9" s="12"/>
      <c r="B9" s="510" t="s">
        <v>22</v>
      </c>
      <c r="C9" s="511"/>
      <c r="D9" s="103"/>
      <c r="E9" s="103"/>
      <c r="F9" s="103"/>
      <c r="G9" s="103"/>
      <c r="H9" s="103"/>
      <c r="I9" s="103"/>
    </row>
    <row r="10" spans="1:11" ht="11.25" customHeight="1" x14ac:dyDescent="0.25">
      <c r="A10" s="12"/>
      <c r="B10" s="98">
        <v>1</v>
      </c>
      <c r="C10" s="97" t="s">
        <v>126</v>
      </c>
      <c r="D10" s="419">
        <f>'6'!B25</f>
        <v>0.6</v>
      </c>
      <c r="E10" s="104">
        <f>+'6'!C25</f>
        <v>3.7</v>
      </c>
      <c r="F10" s="104">
        <f>'6'!D25</f>
        <v>2805.7</v>
      </c>
      <c r="G10" s="104">
        <f>'6'!E25</f>
        <v>0</v>
      </c>
      <c r="H10" s="104">
        <f>'6'!F25</f>
        <v>6172.3</v>
      </c>
      <c r="I10" s="104">
        <f>SUM(D10:H10)</f>
        <v>8982.2999999999993</v>
      </c>
    </row>
    <row r="11" spans="1:11" ht="11.25" customHeight="1" x14ac:dyDescent="0.25">
      <c r="A11" s="12"/>
      <c r="B11" s="98">
        <v>2</v>
      </c>
      <c r="C11" s="97" t="s">
        <v>130</v>
      </c>
      <c r="D11" s="419">
        <f>'6'!B26+'6'!B27+'6'!B24</f>
        <v>278</v>
      </c>
      <c r="E11" s="104">
        <f>'6'!C26+'6'!C27+'6'!C24</f>
        <v>0</v>
      </c>
      <c r="F11" s="104">
        <f>'6'!D26+'6'!D27+'6'!D24</f>
        <v>0</v>
      </c>
      <c r="G11" s="104">
        <f>'6'!E26+'6'!E27+'6'!E24</f>
        <v>0</v>
      </c>
      <c r="H11" s="104">
        <f>'6'!F26+'6'!F27+'6'!F24</f>
        <v>2184.8000000000002</v>
      </c>
      <c r="I11" s="104">
        <f>SUM(D11:H11)</f>
        <v>2462.8000000000002</v>
      </c>
    </row>
    <row r="12" spans="1:11" s="105" customFormat="1" ht="11.25" customHeight="1" x14ac:dyDescent="0.25">
      <c r="A12" s="12"/>
      <c r="B12" s="256">
        <v>17</v>
      </c>
      <c r="C12" s="257" t="s">
        <v>30</v>
      </c>
      <c r="D12" s="267">
        <f>SUM(D10:D11)</f>
        <v>278.60000000000002</v>
      </c>
      <c r="E12" s="267">
        <f t="shared" ref="E12:I12" si="0">SUM(E10:E11)</f>
        <v>3.7</v>
      </c>
      <c r="F12" s="267">
        <f t="shared" si="0"/>
        <v>2805.7</v>
      </c>
      <c r="G12" s="267">
        <f t="shared" si="0"/>
        <v>0</v>
      </c>
      <c r="H12" s="267">
        <f t="shared" si="0"/>
        <v>8357.1</v>
      </c>
      <c r="I12" s="267">
        <f t="shared" si="0"/>
        <v>11445.099999999999</v>
      </c>
    </row>
    <row r="13" spans="1:11" x14ac:dyDescent="0.25">
      <c r="A13" s="12"/>
      <c r="D13" s="106"/>
      <c r="E13" s="106"/>
      <c r="F13" s="106"/>
      <c r="G13" s="106"/>
      <c r="H13" s="106"/>
      <c r="I13" s="16"/>
    </row>
    <row r="14" spans="1:11" x14ac:dyDescent="0.25">
      <c r="A14" s="12"/>
    </row>
    <row r="15" spans="1:11" x14ac:dyDescent="0.25">
      <c r="A15" s="12"/>
    </row>
    <row r="16" spans="1: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6" spans="1:1" x14ac:dyDescent="0.25">
      <c r="A56" s="20"/>
    </row>
    <row r="57" spans="1:1" x14ac:dyDescent="0.25">
      <c r="A57" s="20"/>
    </row>
    <row r="58" spans="1:1" x14ac:dyDescent="0.25">
      <c r="A58" s="21"/>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D1" sqref="D1"/>
    </sheetView>
  </sheetViews>
  <sheetFormatPr defaultColWidth="11.42578125" defaultRowHeight="15" x14ac:dyDescent="0.25"/>
  <cols>
    <col min="1" max="1" width="2.7109375" style="23" customWidth="1"/>
    <col min="2" max="2" width="4.140625" style="3" customWidth="1"/>
    <col min="3" max="3" width="35.7109375" style="3" customWidth="1"/>
    <col min="4" max="4" width="11.5703125" style="3" bestFit="1" customWidth="1"/>
    <col min="5" max="5" width="12.140625" style="3" bestFit="1" customWidth="1"/>
    <col min="6" max="10" width="12.140625" style="3" customWidth="1"/>
    <col min="11"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ht="18" x14ac:dyDescent="0.25">
      <c r="A5" s="13"/>
      <c r="B5" s="136" t="s">
        <v>140</v>
      </c>
    </row>
    <row r="6" spans="1:11" ht="11.25" customHeight="1" x14ac:dyDescent="0.25">
      <c r="A6" s="14"/>
      <c r="B6" s="16"/>
      <c r="C6" s="16"/>
      <c r="D6" s="16"/>
      <c r="E6" s="16"/>
      <c r="F6" s="16"/>
      <c r="G6" s="16"/>
      <c r="H6" s="16"/>
      <c r="I6" s="16"/>
      <c r="J6" s="16"/>
    </row>
    <row r="7" spans="1:11" ht="11.25" customHeight="1" x14ac:dyDescent="0.25">
      <c r="A7" s="14"/>
      <c r="B7" s="107"/>
      <c r="C7" s="108"/>
      <c r="D7" s="109" t="s">
        <v>23</v>
      </c>
      <c r="E7" s="110" t="s">
        <v>24</v>
      </c>
      <c r="F7" s="110" t="s">
        <v>25</v>
      </c>
      <c r="G7" s="110" t="s">
        <v>26</v>
      </c>
      <c r="H7" s="110" t="s">
        <v>27</v>
      </c>
      <c r="I7" s="110" t="s">
        <v>141</v>
      </c>
      <c r="J7" s="111" t="s">
        <v>142</v>
      </c>
    </row>
    <row r="8" spans="1:11" ht="11.25" customHeight="1" x14ac:dyDescent="0.25">
      <c r="A8" s="12"/>
      <c r="B8" s="107"/>
      <c r="C8" s="108"/>
      <c r="D8" s="514" t="s">
        <v>143</v>
      </c>
      <c r="E8" s="515"/>
      <c r="F8" s="516" t="s">
        <v>144</v>
      </c>
      <c r="G8" s="516" t="s">
        <v>145</v>
      </c>
      <c r="H8" s="516" t="s">
        <v>146</v>
      </c>
      <c r="I8" s="516" t="s">
        <v>147</v>
      </c>
      <c r="J8" s="112" t="s">
        <v>132</v>
      </c>
    </row>
    <row r="9" spans="1:11" ht="24" customHeight="1" x14ac:dyDescent="0.25">
      <c r="A9" s="12"/>
      <c r="B9" s="113"/>
      <c r="C9" s="114"/>
      <c r="D9" s="518" t="s">
        <v>148</v>
      </c>
      <c r="E9" s="520" t="s">
        <v>149</v>
      </c>
      <c r="F9" s="517"/>
      <c r="G9" s="517"/>
      <c r="H9" s="517"/>
      <c r="I9" s="517"/>
      <c r="J9" s="512" t="s">
        <v>510</v>
      </c>
    </row>
    <row r="10" spans="1:11" ht="11.25" customHeight="1" x14ac:dyDescent="0.25">
      <c r="A10" s="12"/>
      <c r="B10" s="510" t="s">
        <v>22</v>
      </c>
      <c r="C10" s="511"/>
      <c r="D10" s="519"/>
      <c r="E10" s="521"/>
      <c r="F10" s="517"/>
      <c r="G10" s="517"/>
      <c r="H10" s="517"/>
      <c r="I10" s="517"/>
      <c r="J10" s="513"/>
    </row>
    <row r="11" spans="1:11" ht="11.25" customHeight="1" x14ac:dyDescent="0.25">
      <c r="A11" s="12"/>
      <c r="B11" s="98"/>
      <c r="C11" s="96" t="s">
        <v>536</v>
      </c>
      <c r="D11" s="104"/>
      <c r="E11" s="104">
        <f>(403080.68937+126849.30589+67191.65835+-9021.10145+-4251.37776)/1000</f>
        <v>583.84917440000015</v>
      </c>
      <c r="F11" s="104"/>
      <c r="G11" s="104"/>
      <c r="H11" s="104"/>
      <c r="I11" s="104"/>
      <c r="J11" s="104">
        <f>D11+E11</f>
        <v>583.84917440000015</v>
      </c>
    </row>
    <row r="12" spans="1:11" ht="11.25" customHeight="1" x14ac:dyDescent="0.25">
      <c r="A12" s="12"/>
      <c r="B12" s="98"/>
      <c r="C12" s="96" t="s">
        <v>537</v>
      </c>
      <c r="D12" s="104"/>
      <c r="E12" s="104">
        <v>0</v>
      </c>
      <c r="F12" s="104"/>
      <c r="G12" s="104"/>
      <c r="H12" s="104"/>
      <c r="I12" s="104"/>
      <c r="J12" s="104">
        <f t="shared" ref="J12:J20" si="0">D12+E12</f>
        <v>0</v>
      </c>
    </row>
    <row r="13" spans="1:11" ht="11.25" customHeight="1" x14ac:dyDescent="0.25">
      <c r="A13" s="12"/>
      <c r="B13" s="98"/>
      <c r="C13" s="96" t="s">
        <v>128</v>
      </c>
      <c r="D13" s="104"/>
      <c r="E13" s="104">
        <v>1301.8097159700001</v>
      </c>
      <c r="F13" s="104"/>
      <c r="G13" s="104"/>
      <c r="H13" s="104"/>
      <c r="I13" s="104"/>
      <c r="J13" s="104">
        <f t="shared" si="0"/>
        <v>1301.8097159700001</v>
      </c>
    </row>
    <row r="14" spans="1:11" ht="11.25" customHeight="1" x14ac:dyDescent="0.25">
      <c r="A14" s="12"/>
      <c r="B14" s="98"/>
      <c r="C14" s="96" t="s">
        <v>126</v>
      </c>
      <c r="D14" s="104">
        <v>1062.4223921620701</v>
      </c>
      <c r="E14" s="104">
        <f>8220.07556078-D14+E21</f>
        <v>12421.391979413471</v>
      </c>
      <c r="F14" s="104"/>
      <c r="G14" s="104"/>
      <c r="H14" s="104"/>
      <c r="I14" s="104"/>
      <c r="J14" s="104">
        <f t="shared" si="0"/>
        <v>13483.814371575541</v>
      </c>
    </row>
    <row r="15" spans="1:11" ht="11.25" customHeight="1" x14ac:dyDescent="0.25">
      <c r="A15" s="12"/>
      <c r="B15" s="98"/>
      <c r="C15" s="96" t="s">
        <v>471</v>
      </c>
      <c r="D15" s="104"/>
      <c r="E15" s="104">
        <f>882.99374776-E11</f>
        <v>299.14457335999987</v>
      </c>
      <c r="F15" s="104"/>
      <c r="G15" s="104"/>
      <c r="H15" s="104"/>
      <c r="I15" s="104"/>
      <c r="J15" s="104">
        <f t="shared" si="0"/>
        <v>299.14457335999987</v>
      </c>
    </row>
    <row r="16" spans="1:11" ht="11.25" customHeight="1" x14ac:dyDescent="0.25">
      <c r="A16" s="12"/>
      <c r="B16" s="98"/>
      <c r="C16" s="96" t="s">
        <v>130</v>
      </c>
      <c r="D16" s="104"/>
      <c r="E16" s="104">
        <v>286.76904124999999</v>
      </c>
      <c r="F16" s="104"/>
      <c r="G16" s="104"/>
      <c r="H16" s="104"/>
      <c r="I16" s="104"/>
      <c r="J16" s="104">
        <f t="shared" si="0"/>
        <v>286.76904124999999</v>
      </c>
    </row>
    <row r="17" spans="1:10" s="105" customFormat="1" ht="11.25" customHeight="1" x14ac:dyDescent="0.25">
      <c r="A17" s="12"/>
      <c r="B17" s="115"/>
      <c r="C17" s="131" t="s">
        <v>131</v>
      </c>
      <c r="D17" s="267">
        <f>SUM(D11:D16)</f>
        <v>1062.4223921620701</v>
      </c>
      <c r="E17" s="267">
        <f>SUM(E11:E16)</f>
        <v>14892.964484393469</v>
      </c>
      <c r="F17" s="267"/>
      <c r="G17" s="267"/>
      <c r="H17" s="267"/>
      <c r="I17" s="267"/>
      <c r="J17" s="267">
        <f t="shared" si="0"/>
        <v>15955.38687655554</v>
      </c>
    </row>
    <row r="18" spans="1:10" s="105" customFormat="1" ht="11.25" customHeight="1" x14ac:dyDescent="0.25">
      <c r="A18" s="12"/>
      <c r="B18" s="115"/>
      <c r="C18" s="131" t="s">
        <v>30</v>
      </c>
      <c r="D18" s="267">
        <f>D17</f>
        <v>1062.4223921620701</v>
      </c>
      <c r="E18" s="267">
        <f>E17</f>
        <v>14892.964484393469</v>
      </c>
      <c r="F18" s="267"/>
      <c r="G18" s="267"/>
      <c r="H18" s="267"/>
      <c r="I18" s="267"/>
      <c r="J18" s="267">
        <f t="shared" si="0"/>
        <v>15955.38687655554</v>
      </c>
    </row>
    <row r="19" spans="1:10" ht="11.25" customHeight="1" x14ac:dyDescent="0.25">
      <c r="A19" s="12"/>
      <c r="B19" s="116"/>
      <c r="C19" s="94" t="s">
        <v>150</v>
      </c>
      <c r="D19" s="104"/>
      <c r="E19" s="104"/>
      <c r="F19" s="104"/>
      <c r="G19" s="104"/>
      <c r="H19" s="104"/>
      <c r="I19" s="104"/>
      <c r="J19" s="104">
        <f t="shared" si="0"/>
        <v>0</v>
      </c>
    </row>
    <row r="20" spans="1:10" ht="11.25" customHeight="1" x14ac:dyDescent="0.25">
      <c r="A20" s="12"/>
      <c r="B20" s="116"/>
      <c r="C20" s="95" t="s">
        <v>151</v>
      </c>
      <c r="D20" s="104"/>
      <c r="E20" s="104"/>
      <c r="F20" s="104"/>
      <c r="G20" s="104"/>
      <c r="H20" s="104"/>
      <c r="I20" s="104"/>
      <c r="J20" s="104">
        <f t="shared" si="0"/>
        <v>0</v>
      </c>
    </row>
    <row r="21" spans="1:10" ht="11.25" customHeight="1" x14ac:dyDescent="0.25">
      <c r="A21" s="12"/>
      <c r="B21" s="116"/>
      <c r="C21" s="95" t="s">
        <v>152</v>
      </c>
      <c r="D21" s="104">
        <v>0</v>
      </c>
      <c r="E21" s="104">
        <v>5263.7388107955403</v>
      </c>
      <c r="F21" s="104"/>
      <c r="G21" s="104"/>
      <c r="H21" s="104"/>
      <c r="I21" s="104"/>
      <c r="J21" s="104">
        <f t="shared" ref="J21" si="1">D21+E21</f>
        <v>5263.7388107955403</v>
      </c>
    </row>
    <row r="22" spans="1:10" ht="11.25" customHeight="1" x14ac:dyDescent="0.25">
      <c r="A22" s="12"/>
    </row>
    <row r="23" spans="1:10" ht="11.25" customHeight="1" x14ac:dyDescent="0.25">
      <c r="A23" s="12"/>
      <c r="E23" s="117"/>
    </row>
    <row r="24" spans="1:10" ht="11.25" customHeight="1" x14ac:dyDescent="0.25">
      <c r="A24" s="12"/>
    </row>
    <row r="25" spans="1:10" ht="11.25" customHeight="1" x14ac:dyDescent="0.25">
      <c r="A25" s="12"/>
    </row>
    <row r="26" spans="1:10" ht="11.25" customHeight="1" x14ac:dyDescent="0.25">
      <c r="A26" s="12"/>
    </row>
    <row r="27" spans="1:10" ht="11.25" customHeight="1" x14ac:dyDescent="0.25">
      <c r="A27" s="12"/>
    </row>
    <row r="28" spans="1:10" ht="11.25" customHeight="1" x14ac:dyDescent="0.25">
      <c r="A28" s="12"/>
    </row>
    <row r="29" spans="1:10" ht="11.25" customHeight="1" x14ac:dyDescent="0.25">
      <c r="A29" s="12"/>
    </row>
    <row r="30" spans="1:10" ht="11.25" customHeight="1" x14ac:dyDescent="0.25">
      <c r="A30" s="12"/>
    </row>
    <row r="31" spans="1:10" ht="11.25" customHeight="1" x14ac:dyDescent="0.25">
      <c r="A31" s="12"/>
    </row>
    <row r="32" spans="1:10"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ht="11.25" customHeight="1" x14ac:dyDescent="0.25">
      <c r="A37" s="12"/>
    </row>
    <row r="38" spans="1:1" ht="11.25" customHeight="1" x14ac:dyDescent="0.25">
      <c r="A38" s="12"/>
    </row>
    <row r="39" spans="1:1" ht="11.25" customHeight="1" x14ac:dyDescent="0.25">
      <c r="A39" s="12"/>
    </row>
    <row r="40" spans="1:1" ht="11.25" customHeight="1" x14ac:dyDescent="0.25">
      <c r="A40" s="12"/>
    </row>
    <row r="41" spans="1:1" ht="11.25" customHeight="1" x14ac:dyDescent="0.25">
      <c r="A41" s="12"/>
    </row>
    <row r="42" spans="1:1" ht="11.25" customHeight="1" x14ac:dyDescent="0.25">
      <c r="A42" s="12"/>
    </row>
    <row r="43" spans="1:1" ht="11.25" customHeight="1" x14ac:dyDescent="0.25">
      <c r="A43" s="12"/>
    </row>
    <row r="44" spans="1:1" ht="11.25" customHeight="1" x14ac:dyDescent="0.25">
      <c r="A44" s="12"/>
    </row>
    <row r="45" spans="1:1" ht="11.25" customHeight="1" x14ac:dyDescent="0.25">
      <c r="A45" s="12"/>
    </row>
    <row r="46" spans="1:1" ht="11.25" customHeight="1" x14ac:dyDescent="0.25">
      <c r="A46" s="12"/>
    </row>
    <row r="47" spans="1:1" ht="11.25" customHeight="1" x14ac:dyDescent="0.25">
      <c r="A47" s="12"/>
    </row>
    <row r="48" spans="1:1" ht="11.25" customHeight="1" x14ac:dyDescent="0.25">
      <c r="A48" s="12"/>
    </row>
    <row r="49" spans="1:1" ht="11.25" customHeight="1" x14ac:dyDescent="0.25">
      <c r="A49" s="12"/>
    </row>
    <row r="50" spans="1:1" ht="11.25" customHeight="1" x14ac:dyDescent="0.25">
      <c r="A50" s="12"/>
    </row>
    <row r="51" spans="1:1" ht="11.25" customHeight="1" x14ac:dyDescent="0.25">
      <c r="A51" s="12"/>
    </row>
    <row r="52" spans="1:1" ht="11.25" customHeight="1" x14ac:dyDescent="0.25">
      <c r="A52" s="12"/>
    </row>
    <row r="53" spans="1:1" ht="11.25" customHeight="1" x14ac:dyDescent="0.25">
      <c r="A53" s="12"/>
    </row>
    <row r="54" spans="1:1" ht="11.25" customHeight="1" x14ac:dyDescent="0.25">
      <c r="A54" s="12"/>
    </row>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c r="A61" s="20"/>
    </row>
    <row r="62" spans="1:1" ht="11.25" customHeight="1" x14ac:dyDescent="0.25">
      <c r="A62" s="20"/>
    </row>
    <row r="63" spans="1:1" ht="11.25" customHeight="1" x14ac:dyDescent="0.25">
      <c r="A63" s="21"/>
    </row>
    <row r="64" spans="1:1" ht="11.25" customHeight="1" x14ac:dyDescent="0.25">
      <c r="A64" s="12"/>
    </row>
    <row r="65" spans="1:1" ht="11.25" customHeight="1" x14ac:dyDescent="0.25">
      <c r="A65" s="12"/>
    </row>
    <row r="66" spans="1:1" ht="11.25" customHeight="1" x14ac:dyDescent="0.25">
      <c r="A66" s="12"/>
    </row>
    <row r="67" spans="1:1" ht="11.25" customHeight="1" x14ac:dyDescent="0.25">
      <c r="A67" s="12"/>
    </row>
    <row r="68" spans="1:1" ht="11.25" customHeight="1" x14ac:dyDescent="0.25">
      <c r="A68" s="12"/>
    </row>
    <row r="69" spans="1:1" ht="11.25" customHeight="1" x14ac:dyDescent="0.25">
      <c r="A69" s="12"/>
    </row>
    <row r="70" spans="1:1" ht="11.25" customHeight="1" x14ac:dyDescent="0.25">
      <c r="A70" s="12"/>
    </row>
    <row r="71" spans="1:1" x14ac:dyDescent="0.25">
      <c r="A71" s="1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D31" sqref="D31"/>
    </sheetView>
  </sheetViews>
  <sheetFormatPr defaultColWidth="11.42578125" defaultRowHeight="15" x14ac:dyDescent="0.25"/>
  <cols>
    <col min="1" max="1" width="2.7109375" style="23" customWidth="1"/>
    <col min="2" max="2" width="21.28515625" style="3" customWidth="1"/>
    <col min="3" max="9" width="12.140625" style="3" customWidth="1"/>
    <col min="10" max="16384" width="11.42578125" style="3"/>
  </cols>
  <sheetData>
    <row r="1" spans="1:12" s="10" customFormat="1" ht="11.25" customHeight="1" x14ac:dyDescent="0.2">
      <c r="A1" s="7"/>
      <c r="B1" s="7"/>
      <c r="C1" s="7"/>
      <c r="D1" s="8"/>
      <c r="E1" s="8"/>
      <c r="F1" s="9"/>
      <c r="G1" s="9"/>
      <c r="H1" s="9"/>
    </row>
    <row r="2" spans="1:12" s="10" customFormat="1" ht="5.25" customHeight="1" x14ac:dyDescent="0.2">
      <c r="A2" s="7"/>
      <c r="B2" s="7"/>
      <c r="C2" s="7"/>
      <c r="D2" s="8"/>
      <c r="E2" s="8"/>
      <c r="F2" s="9"/>
      <c r="G2" s="9"/>
      <c r="H2" s="9"/>
    </row>
    <row r="3" spans="1:12" s="12" customFormat="1" ht="12.75" customHeight="1" x14ac:dyDescent="0.2">
      <c r="A3" s="11"/>
      <c r="B3" s="457"/>
      <c r="C3" s="457"/>
      <c r="D3" s="457"/>
      <c r="E3" s="457"/>
      <c r="F3" s="457"/>
      <c r="G3" s="457"/>
      <c r="H3" s="457"/>
    </row>
    <row r="4" spans="1:12" s="10" customFormat="1" ht="5.0999999999999996" customHeight="1" x14ac:dyDescent="0.2">
      <c r="A4" s="7"/>
      <c r="B4" s="7"/>
      <c r="C4" s="7"/>
      <c r="D4" s="8"/>
      <c r="E4" s="8"/>
      <c r="F4" s="9"/>
      <c r="G4" s="9"/>
      <c r="H4" s="9"/>
      <c r="J4" s="7"/>
      <c r="K4" s="7"/>
    </row>
    <row r="5" spans="1:12" ht="18" x14ac:dyDescent="0.25">
      <c r="A5" s="13"/>
      <c r="B5" s="136" t="s">
        <v>154</v>
      </c>
    </row>
    <row r="6" spans="1:12" ht="11.25" customHeight="1" x14ac:dyDescent="0.25">
      <c r="A6" s="14"/>
      <c r="B6" s="16"/>
      <c r="C6" s="16"/>
      <c r="D6" s="16"/>
      <c r="E6" s="16"/>
      <c r="F6" s="16"/>
      <c r="G6" s="16"/>
      <c r="H6" s="16"/>
      <c r="I6" s="16"/>
    </row>
    <row r="7" spans="1:12" ht="11.25" customHeight="1" x14ac:dyDescent="0.25">
      <c r="A7" s="14"/>
      <c r="B7" s="108"/>
      <c r="C7" s="37" t="s">
        <v>23</v>
      </c>
      <c r="D7" s="37" t="s">
        <v>24</v>
      </c>
      <c r="E7" s="37" t="s">
        <v>25</v>
      </c>
      <c r="F7" s="37" t="s">
        <v>26</v>
      </c>
      <c r="G7" s="37" t="s">
        <v>27</v>
      </c>
      <c r="H7" s="37" t="s">
        <v>141</v>
      </c>
      <c r="I7" s="37" t="s">
        <v>142</v>
      </c>
    </row>
    <row r="8" spans="1:12" ht="24.75" customHeight="1" x14ac:dyDescent="0.25">
      <c r="A8" s="12"/>
      <c r="B8" s="108"/>
      <c r="C8" s="523" t="s">
        <v>143</v>
      </c>
      <c r="D8" s="524"/>
      <c r="E8" s="522" t="s">
        <v>144</v>
      </c>
      <c r="F8" s="522" t="s">
        <v>145</v>
      </c>
      <c r="G8" s="525" t="s">
        <v>146</v>
      </c>
      <c r="H8" s="522" t="s">
        <v>153</v>
      </c>
      <c r="I8" s="102" t="s">
        <v>132</v>
      </c>
    </row>
    <row r="9" spans="1:12" ht="13.5" customHeight="1" x14ac:dyDescent="0.25">
      <c r="A9" s="12"/>
      <c r="B9" s="118"/>
      <c r="C9" s="525" t="s">
        <v>148</v>
      </c>
      <c r="D9" s="525" t="s">
        <v>149</v>
      </c>
      <c r="E9" s="522"/>
      <c r="F9" s="522"/>
      <c r="G9" s="526"/>
      <c r="H9" s="522"/>
      <c r="I9" s="522" t="s">
        <v>509</v>
      </c>
      <c r="K9" s="121"/>
    </row>
    <row r="10" spans="1:12" ht="23.25" customHeight="1" x14ac:dyDescent="0.25">
      <c r="A10" s="12"/>
      <c r="B10" s="122" t="s">
        <v>22</v>
      </c>
      <c r="C10" s="527"/>
      <c r="D10" s="527"/>
      <c r="E10" s="522"/>
      <c r="F10" s="522"/>
      <c r="G10" s="527"/>
      <c r="H10" s="522"/>
      <c r="I10" s="522"/>
      <c r="K10" s="121"/>
    </row>
    <row r="11" spans="1:12" ht="11.25" customHeight="1" x14ac:dyDescent="0.25">
      <c r="A11" s="12"/>
      <c r="B11" s="123" t="s">
        <v>28</v>
      </c>
      <c r="C11" s="119">
        <f>(721.49559058)+226.34320401869</f>
        <v>947.83879459869001</v>
      </c>
      <c r="D11" s="119">
        <f>4585.07492534-C11</f>
        <v>3637.2361307413098</v>
      </c>
      <c r="E11" s="119"/>
      <c r="F11" s="119"/>
      <c r="G11" s="119"/>
      <c r="H11" s="119"/>
      <c r="I11" s="119">
        <f>C11+D11</f>
        <v>4585.0749253399999</v>
      </c>
      <c r="J11" s="124"/>
    </row>
    <row r="12" spans="1:12" ht="11.25" customHeight="1" x14ac:dyDescent="0.25">
      <c r="A12" s="12"/>
      <c r="B12" s="125" t="s">
        <v>29</v>
      </c>
      <c r="C12" s="119">
        <f>(58.0506675418659)+18.2113019932487</f>
        <v>76.261969535114602</v>
      </c>
      <c r="D12" s="119">
        <f>1660.93318424-C12</f>
        <v>1584.6712147048854</v>
      </c>
      <c r="E12" s="119"/>
      <c r="F12" s="119"/>
      <c r="G12" s="119"/>
      <c r="H12" s="119"/>
      <c r="I12" s="119">
        <f t="shared" ref="I12:I13" si="0">C12+D12</f>
        <v>1660.9331842399999</v>
      </c>
      <c r="J12" s="124"/>
    </row>
    <row r="13" spans="1:12" ht="11.25" customHeight="1" x14ac:dyDescent="0.25">
      <c r="A13" s="12"/>
      <c r="B13" s="125" t="s">
        <v>515</v>
      </c>
      <c r="C13" s="119">
        <f>(29.170451561808)+9.15117646646174</f>
        <v>38.321628028269743</v>
      </c>
      <c r="D13" s="119">
        <f>1974.0674512-C13</f>
        <v>1935.7458231717303</v>
      </c>
      <c r="E13" s="119"/>
      <c r="F13" s="119"/>
      <c r="G13" s="119"/>
      <c r="H13" s="119"/>
      <c r="I13" s="119">
        <f t="shared" si="0"/>
        <v>1974.0674512000001</v>
      </c>
      <c r="J13" s="124"/>
    </row>
    <row r="14" spans="1:12" s="105" customFormat="1" ht="11.25" customHeight="1" x14ac:dyDescent="0.25">
      <c r="A14" s="12"/>
      <c r="B14" s="268" t="s">
        <v>30</v>
      </c>
      <c r="C14" s="269">
        <f>SUM(C11:C13)</f>
        <v>1062.4223921620744</v>
      </c>
      <c r="D14" s="269">
        <f>SUM(D11:D13)</f>
        <v>7157.6531686179251</v>
      </c>
      <c r="E14" s="269"/>
      <c r="F14" s="269"/>
      <c r="G14" s="269"/>
      <c r="H14" s="269"/>
      <c r="I14" s="119">
        <f>C14+D14</f>
        <v>8220.0755607800002</v>
      </c>
      <c r="J14" s="124"/>
    </row>
    <row r="15" spans="1:12" ht="11.25" customHeight="1" x14ac:dyDescent="0.25">
      <c r="A15" s="12"/>
      <c r="K15" s="121"/>
    </row>
    <row r="16" spans="1:12" ht="11.25" customHeight="1" x14ac:dyDescent="0.25">
      <c r="A16" s="12"/>
      <c r="K16" s="121"/>
      <c r="L16" s="404"/>
    </row>
    <row r="17" spans="1:11" ht="11.25" customHeight="1" x14ac:dyDescent="0.25">
      <c r="A17" s="12"/>
      <c r="K17" s="121"/>
    </row>
    <row r="18" spans="1:11" ht="11.25" customHeight="1" x14ac:dyDescent="0.25">
      <c r="A18" s="12"/>
      <c r="K18" s="121"/>
    </row>
    <row r="19" spans="1:11" ht="11.25" customHeight="1" x14ac:dyDescent="0.25">
      <c r="A19" s="12"/>
    </row>
    <row r="20" spans="1:11" ht="11.25" customHeight="1" x14ac:dyDescent="0.25">
      <c r="A20" s="12"/>
    </row>
    <row r="21" spans="1:11" ht="11.25" customHeight="1" x14ac:dyDescent="0.25">
      <c r="A21" s="12"/>
      <c r="J21" s="415"/>
      <c r="K21" s="120"/>
    </row>
    <row r="22" spans="1:11" ht="11.25" customHeight="1" x14ac:dyDescent="0.25">
      <c r="A22" s="12"/>
      <c r="J22" s="415"/>
      <c r="K22" s="120"/>
    </row>
    <row r="23" spans="1:11" ht="11.25" customHeight="1" x14ac:dyDescent="0.25">
      <c r="A23" s="12"/>
      <c r="J23" s="415"/>
      <c r="K23" s="120"/>
    </row>
    <row r="24" spans="1:11" ht="11.25" customHeight="1" x14ac:dyDescent="0.25">
      <c r="A24" s="12"/>
      <c r="J24" s="415"/>
      <c r="K24" s="120"/>
    </row>
    <row r="25" spans="1:11" ht="11.25" customHeight="1" x14ac:dyDescent="0.25">
      <c r="A25" s="12"/>
    </row>
    <row r="26" spans="1:11" ht="11.25" customHeight="1" x14ac:dyDescent="0.25">
      <c r="A26" s="12"/>
    </row>
    <row r="27" spans="1:11" ht="11.25" customHeight="1" x14ac:dyDescent="0.25">
      <c r="A27" s="12"/>
    </row>
    <row r="28" spans="1:11" ht="11.25" customHeight="1" x14ac:dyDescent="0.25">
      <c r="A28" s="12"/>
    </row>
    <row r="29" spans="1:11" ht="11.25" customHeight="1" x14ac:dyDescent="0.25">
      <c r="A29" s="12"/>
    </row>
    <row r="30" spans="1:11" ht="11.25" customHeight="1" x14ac:dyDescent="0.25">
      <c r="A30" s="12"/>
    </row>
    <row r="31" spans="1:11" ht="11.25" customHeight="1" x14ac:dyDescent="0.25">
      <c r="A31" s="12"/>
    </row>
    <row r="32" spans="1:11"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62" spans="1:1" x14ac:dyDescent="0.25">
      <c r="A62" s="20"/>
    </row>
    <row r="63" spans="1:1" x14ac:dyDescent="0.25">
      <c r="A63" s="20"/>
    </row>
    <row r="64" spans="1:1" x14ac:dyDescent="0.25">
      <c r="A64" s="21"/>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F18" sqref="F18"/>
    </sheetView>
  </sheetViews>
  <sheetFormatPr defaultColWidth="11.42578125" defaultRowHeight="11.25" x14ac:dyDescent="0.2"/>
  <cols>
    <col min="1" max="1" width="2.7109375" style="23" customWidth="1"/>
    <col min="2" max="2" width="4.140625" style="16" customWidth="1"/>
    <col min="3" max="3" width="21.28515625" style="16" customWidth="1"/>
    <col min="4" max="9" width="11.42578125" style="16" customWidth="1"/>
    <col min="10" max="11" width="11.42578125" style="16"/>
    <col min="12" max="13" width="16.140625" style="16" bestFit="1" customWidth="1"/>
    <col min="14" max="14" width="14.42578125" style="16" bestFit="1" customWidth="1"/>
    <col min="15" max="17" width="16.140625" style="16" bestFit="1" customWidth="1"/>
    <col min="18"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s="3" customFormat="1" ht="18" x14ac:dyDescent="0.25">
      <c r="A5" s="13"/>
      <c r="B5" s="136" t="s">
        <v>155</v>
      </c>
    </row>
    <row r="6" spans="1:11" x14ac:dyDescent="0.2">
      <c r="A6" s="12"/>
    </row>
    <row r="7" spans="1:11" x14ac:dyDescent="0.2">
      <c r="A7" s="12"/>
      <c r="B7" s="464" t="s">
        <v>22</v>
      </c>
      <c r="C7" s="528"/>
      <c r="D7" s="47" t="s">
        <v>23</v>
      </c>
      <c r="E7" s="47" t="s">
        <v>24</v>
      </c>
      <c r="F7" s="47" t="s">
        <v>25</v>
      </c>
      <c r="G7" s="47" t="s">
        <v>26</v>
      </c>
      <c r="H7" s="408"/>
      <c r="I7" s="408"/>
    </row>
    <row r="8" spans="1:11" ht="11.25" customHeight="1" x14ac:dyDescent="0.2">
      <c r="A8" s="12"/>
      <c r="B8" s="529"/>
      <c r="C8" s="530"/>
      <c r="D8" s="533" t="s">
        <v>156</v>
      </c>
      <c r="E8" s="534"/>
      <c r="F8" s="534"/>
      <c r="G8" s="535"/>
      <c r="H8" s="410"/>
      <c r="I8" s="410"/>
    </row>
    <row r="9" spans="1:11" ht="22.5" x14ac:dyDescent="0.2">
      <c r="A9" s="12"/>
      <c r="B9" s="531"/>
      <c r="C9" s="532"/>
      <c r="D9" s="409" t="s">
        <v>698</v>
      </c>
      <c r="E9" s="409" t="s">
        <v>157</v>
      </c>
      <c r="F9" s="409" t="s">
        <v>158</v>
      </c>
      <c r="G9" s="409" t="s">
        <v>678</v>
      </c>
      <c r="H9" s="405"/>
      <c r="I9" s="405"/>
    </row>
    <row r="10" spans="1:11" x14ac:dyDescent="0.2">
      <c r="A10" s="12"/>
      <c r="B10" s="127">
        <v>1</v>
      </c>
      <c r="C10" s="97" t="s">
        <v>159</v>
      </c>
      <c r="D10" s="52">
        <f>((5864359656.17907)+848560709.743495)/1000000</f>
        <v>6712.9203659225659</v>
      </c>
      <c r="E10" s="52">
        <v>296.34941162901396</v>
      </c>
      <c r="F10" s="52">
        <v>125.132201671567</v>
      </c>
      <c r="G10" s="52">
        <v>808.71670968367403</v>
      </c>
      <c r="H10" s="406"/>
      <c r="I10" s="406"/>
    </row>
    <row r="11" spans="1:11" x14ac:dyDescent="0.2">
      <c r="A11" s="12"/>
      <c r="B11" s="127">
        <v>2</v>
      </c>
      <c r="C11" s="97" t="s">
        <v>112</v>
      </c>
      <c r="D11" s="128">
        <v>0</v>
      </c>
      <c r="E11" s="128">
        <v>0</v>
      </c>
      <c r="F11" s="128">
        <v>0</v>
      </c>
      <c r="G11" s="128">
        <v>0</v>
      </c>
      <c r="H11" s="407"/>
      <c r="I11" s="407"/>
    </row>
    <row r="12" spans="1:11" x14ac:dyDescent="0.2">
      <c r="A12" s="12"/>
      <c r="B12" s="129">
        <v>3</v>
      </c>
      <c r="C12" s="130" t="s">
        <v>160</v>
      </c>
      <c r="D12" s="52">
        <f>D10</f>
        <v>6712.9203659225659</v>
      </c>
      <c r="E12" s="52">
        <f>E10</f>
        <v>296.34941162901396</v>
      </c>
      <c r="F12" s="52">
        <f>F10</f>
        <v>125.132201671567</v>
      </c>
      <c r="G12" s="52">
        <f>G10</f>
        <v>808.71670968367403</v>
      </c>
      <c r="H12" s="406"/>
      <c r="I12" s="406"/>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M25" sqref="M25"/>
    </sheetView>
  </sheetViews>
  <sheetFormatPr defaultColWidth="11.42578125" defaultRowHeight="11.25" x14ac:dyDescent="0.2"/>
  <cols>
    <col min="1" max="1" width="2.7109375" style="23" customWidth="1"/>
    <col min="2" max="2" width="4.140625" style="16" customWidth="1"/>
    <col min="3" max="3" width="33.42578125" style="16" customWidth="1"/>
    <col min="4" max="21" width="8.28515625" style="16" customWidth="1"/>
    <col min="22" max="16384" width="11.42578125" style="16"/>
  </cols>
  <sheetData>
    <row r="1" spans="1:21" s="10" customFormat="1" ht="11.25" customHeight="1" x14ac:dyDescent="0.2">
      <c r="A1" s="7"/>
      <c r="B1" s="7"/>
      <c r="C1" s="7"/>
      <c r="D1" s="8"/>
      <c r="E1" s="8"/>
      <c r="F1" s="9"/>
      <c r="G1" s="9"/>
      <c r="H1" s="9"/>
    </row>
    <row r="2" spans="1:21" s="10" customFormat="1" ht="5.25" customHeight="1" x14ac:dyDescent="0.2">
      <c r="A2" s="7"/>
      <c r="B2" s="7"/>
      <c r="C2" s="7"/>
      <c r="D2" s="8"/>
      <c r="E2" s="8"/>
      <c r="F2" s="9"/>
      <c r="G2" s="9"/>
      <c r="H2" s="9"/>
    </row>
    <row r="3" spans="1:21" s="12" customFormat="1" ht="12.75" customHeight="1" x14ac:dyDescent="0.2">
      <c r="A3" s="11"/>
      <c r="B3" s="457"/>
      <c r="C3" s="457"/>
      <c r="D3" s="457"/>
      <c r="E3" s="457"/>
      <c r="F3" s="457"/>
      <c r="G3" s="457"/>
      <c r="H3" s="457"/>
    </row>
    <row r="4" spans="1:21" s="10" customFormat="1" ht="5.0999999999999996" customHeight="1" x14ac:dyDescent="0.2">
      <c r="A4" s="7"/>
      <c r="B4" s="7"/>
      <c r="C4" s="7"/>
      <c r="D4" s="8"/>
      <c r="E4" s="8"/>
      <c r="F4" s="9"/>
      <c r="G4" s="9"/>
      <c r="H4" s="9"/>
      <c r="J4" s="7"/>
      <c r="K4" s="7"/>
    </row>
    <row r="5" spans="1:21" s="3" customFormat="1" ht="18" x14ac:dyDescent="0.25">
      <c r="A5" s="13"/>
      <c r="B5" s="136" t="s">
        <v>164</v>
      </c>
    </row>
    <row r="6" spans="1:21" x14ac:dyDescent="0.2">
      <c r="A6" s="14"/>
    </row>
    <row r="7" spans="1:21" x14ac:dyDescent="0.2">
      <c r="A7" s="14"/>
      <c r="B7" s="16" t="s">
        <v>22</v>
      </c>
    </row>
    <row r="8" spans="1:21" x14ac:dyDescent="0.2">
      <c r="A8" s="12"/>
      <c r="B8" s="537"/>
      <c r="C8" s="538" t="s">
        <v>161</v>
      </c>
      <c r="D8" s="540" t="s">
        <v>165</v>
      </c>
      <c r="E8" s="540"/>
      <c r="F8" s="540"/>
      <c r="G8" s="540"/>
      <c r="H8" s="540"/>
      <c r="I8" s="540"/>
      <c r="J8" s="540"/>
      <c r="K8" s="540"/>
      <c r="L8" s="540"/>
      <c r="M8" s="540"/>
      <c r="N8" s="540"/>
      <c r="O8" s="540"/>
      <c r="P8" s="540"/>
      <c r="Q8" s="540"/>
      <c r="R8" s="540"/>
      <c r="S8" s="540"/>
      <c r="T8" s="536" t="s">
        <v>30</v>
      </c>
      <c r="U8" s="536" t="s">
        <v>166</v>
      </c>
    </row>
    <row r="9" spans="1:21" x14ac:dyDescent="0.2">
      <c r="A9" s="12"/>
      <c r="B9" s="537"/>
      <c r="C9" s="539"/>
      <c r="D9" s="57">
        <v>0</v>
      </c>
      <c r="E9" s="57">
        <v>0.02</v>
      </c>
      <c r="F9" s="57">
        <v>0.04</v>
      </c>
      <c r="G9" s="57">
        <v>0.1</v>
      </c>
      <c r="H9" s="57">
        <v>0.2</v>
      </c>
      <c r="I9" s="57">
        <v>0.35</v>
      </c>
      <c r="J9" s="57">
        <v>0.5</v>
      </c>
      <c r="K9" s="57">
        <v>0.7</v>
      </c>
      <c r="L9" s="57">
        <v>0.75</v>
      </c>
      <c r="M9" s="57">
        <v>1</v>
      </c>
      <c r="N9" s="57">
        <v>1.5</v>
      </c>
      <c r="O9" s="57">
        <v>2.5</v>
      </c>
      <c r="P9" s="57">
        <v>3.7</v>
      </c>
      <c r="Q9" s="57">
        <v>12.5</v>
      </c>
      <c r="R9" s="126" t="s">
        <v>167</v>
      </c>
      <c r="S9" s="126" t="s">
        <v>168</v>
      </c>
      <c r="T9" s="536"/>
      <c r="U9" s="536"/>
    </row>
    <row r="10" spans="1:21" x14ac:dyDescent="0.2">
      <c r="A10" s="12"/>
      <c r="B10" s="132">
        <v>1</v>
      </c>
      <c r="C10" s="31" t="s">
        <v>127</v>
      </c>
      <c r="D10" s="52">
        <f>'13'!$E$11</f>
        <v>583.84917440000015</v>
      </c>
      <c r="E10" s="52"/>
      <c r="F10" s="52"/>
      <c r="G10" s="52">
        <v>198.83626436</v>
      </c>
      <c r="H10" s="52">
        <v>100.30830899999999</v>
      </c>
      <c r="I10" s="52"/>
      <c r="J10" s="52"/>
      <c r="K10" s="52"/>
      <c r="L10" s="52"/>
      <c r="M10" s="52"/>
      <c r="N10" s="52"/>
      <c r="O10" s="52"/>
      <c r="P10" s="52"/>
      <c r="Q10" s="52"/>
      <c r="R10" s="52"/>
      <c r="S10" s="52"/>
      <c r="T10" s="100">
        <f>SUM(D10:S10)</f>
        <v>882.99374776000013</v>
      </c>
      <c r="U10" s="52"/>
    </row>
    <row r="11" spans="1:21" x14ac:dyDescent="0.2">
      <c r="A11" s="12"/>
      <c r="B11" s="132">
        <v>2</v>
      </c>
      <c r="C11" s="31" t="s">
        <v>128</v>
      </c>
      <c r="D11" s="52"/>
      <c r="E11" s="52"/>
      <c r="F11" s="52"/>
      <c r="G11" s="52"/>
      <c r="H11" s="52">
        <f>'13'!E13</f>
        <v>1301.8097159700001</v>
      </c>
      <c r="I11" s="52"/>
      <c r="J11" s="52"/>
      <c r="K11" s="52"/>
      <c r="L11" s="52"/>
      <c r="M11" s="52"/>
      <c r="N11" s="52"/>
      <c r="O11" s="52"/>
      <c r="P11" s="52"/>
      <c r="Q11" s="52"/>
      <c r="R11" s="52"/>
      <c r="S11" s="52"/>
      <c r="T11" s="100">
        <f t="shared" ref="T11:T16" si="0">SUM(D11:S11)</f>
        <v>1301.8097159700001</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8220.07556078-M13</f>
        <v>7690.3556709855684</v>
      </c>
      <c r="M13" s="52">
        <v>529.71988979443199</v>
      </c>
      <c r="N13" s="52">
        <v>0</v>
      </c>
      <c r="O13" s="52"/>
      <c r="P13" s="52"/>
      <c r="Q13" s="52"/>
      <c r="R13" s="52"/>
      <c r="S13" s="52">
        <v>-538.34394554566643</v>
      </c>
      <c r="T13" s="100">
        <f t="shared" si="0"/>
        <v>7681.7316152343337</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162</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163</v>
      </c>
      <c r="D16" s="52"/>
      <c r="E16" s="52"/>
      <c r="F16" s="52"/>
      <c r="G16" s="52"/>
      <c r="H16" s="52"/>
      <c r="I16" s="52"/>
      <c r="J16" s="52"/>
      <c r="K16" s="52"/>
      <c r="L16" s="52"/>
      <c r="M16" s="52">
        <v>295.90173419000001</v>
      </c>
      <c r="N16" s="52"/>
      <c r="O16" s="52"/>
      <c r="P16" s="52"/>
      <c r="Q16" s="52"/>
      <c r="R16" s="52"/>
      <c r="S16" s="52"/>
      <c r="T16" s="100">
        <f t="shared" si="0"/>
        <v>295.90173419000001</v>
      </c>
      <c r="U16" s="52"/>
    </row>
    <row r="17" spans="1:21" x14ac:dyDescent="0.2">
      <c r="A17" s="12"/>
      <c r="B17" s="132">
        <v>8</v>
      </c>
      <c r="C17" s="31" t="s">
        <v>30</v>
      </c>
      <c r="D17" s="52">
        <f>SUM(D10:D16)</f>
        <v>583.84917440000015</v>
      </c>
      <c r="E17" s="52">
        <f t="shared" ref="E17:T17" si="1">SUM(E10:E16)</f>
        <v>0</v>
      </c>
      <c r="F17" s="52">
        <f t="shared" si="1"/>
        <v>0</v>
      </c>
      <c r="G17" s="52">
        <f t="shared" si="1"/>
        <v>198.83626436</v>
      </c>
      <c r="H17" s="52">
        <f t="shared" si="1"/>
        <v>1402.1180249700001</v>
      </c>
      <c r="I17" s="52">
        <f t="shared" si="1"/>
        <v>0</v>
      </c>
      <c r="J17" s="52">
        <f t="shared" si="1"/>
        <v>0</v>
      </c>
      <c r="K17" s="52">
        <f t="shared" si="1"/>
        <v>0</v>
      </c>
      <c r="L17" s="52">
        <f t="shared" si="1"/>
        <v>7690.3556709855684</v>
      </c>
      <c r="M17" s="52">
        <f t="shared" si="1"/>
        <v>825.62162398443206</v>
      </c>
      <c r="N17" s="52">
        <f t="shared" si="1"/>
        <v>0</v>
      </c>
      <c r="O17" s="52">
        <f t="shared" si="1"/>
        <v>0</v>
      </c>
      <c r="P17" s="52">
        <f t="shared" si="1"/>
        <v>0</v>
      </c>
      <c r="Q17" s="52">
        <f t="shared" si="1"/>
        <v>0</v>
      </c>
      <c r="R17" s="52">
        <f t="shared" si="1"/>
        <v>0</v>
      </c>
      <c r="S17" s="52">
        <f t="shared" si="1"/>
        <v>-538.34394554566643</v>
      </c>
      <c r="T17" s="52">
        <f t="shared" si="1"/>
        <v>10162.436813154334</v>
      </c>
      <c r="U17" s="52"/>
    </row>
    <row r="18" spans="1:21" x14ac:dyDescent="0.2">
      <c r="A18" s="12"/>
      <c r="P18" s="32"/>
    </row>
    <row r="19" spans="1:21" x14ac:dyDescent="0.2">
      <c r="A19" s="12"/>
    </row>
    <row r="20" spans="1:21" x14ac:dyDescent="0.2">
      <c r="A20" s="12"/>
      <c r="D20" s="32"/>
      <c r="E20" s="32"/>
      <c r="F20" s="32"/>
      <c r="G20" s="32"/>
      <c r="H20" s="32"/>
      <c r="I20" s="32"/>
      <c r="J20" s="32"/>
      <c r="K20" s="32"/>
      <c r="L20" s="32"/>
      <c r="M20" s="32"/>
      <c r="N20" s="32"/>
      <c r="O20" s="32"/>
      <c r="P20" s="32"/>
      <c r="Q20" s="32"/>
      <c r="R20" s="32"/>
      <c r="S20" s="32"/>
      <c r="T20" s="32"/>
    </row>
    <row r="21" spans="1:21" x14ac:dyDescent="0.2">
      <c r="A21" s="12"/>
    </row>
    <row r="22" spans="1:21" x14ac:dyDescent="0.2">
      <c r="A22" s="12"/>
      <c r="L22" s="32"/>
    </row>
    <row r="23" spans="1:21" x14ac:dyDescent="0.2">
      <c r="A23" s="12"/>
    </row>
    <row r="24" spans="1:21" x14ac:dyDescent="0.2">
      <c r="A24" s="12"/>
      <c r="L24" s="3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x14ac:dyDescent="0.2">
      <c r="A70" s="20"/>
    </row>
    <row r="71" spans="1:1" x14ac:dyDescent="0.2">
      <c r="A71" s="20"/>
    </row>
    <row r="72" spans="1:1" x14ac:dyDescent="0.2">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39" sqref="I39"/>
    </sheetView>
  </sheetViews>
  <sheetFormatPr defaultColWidth="11.42578125" defaultRowHeight="11.25" x14ac:dyDescent="0.2"/>
  <cols>
    <col min="1" max="1" width="2.7109375" style="23" customWidth="1"/>
    <col min="2" max="2" width="4.140625" style="16" customWidth="1"/>
    <col min="3" max="3" width="33.42578125" style="16" customWidth="1"/>
    <col min="4" max="10" width="14.7109375" style="16" customWidth="1"/>
    <col min="11" max="16384" width="11.42578125" style="16"/>
  </cols>
  <sheetData>
    <row r="1" spans="1:10" s="10" customFormat="1" ht="11.25" customHeight="1" x14ac:dyDescent="0.2">
      <c r="A1" s="7"/>
      <c r="B1" s="7"/>
      <c r="C1" s="7"/>
      <c r="D1" s="8"/>
      <c r="E1" s="8"/>
      <c r="F1" s="9"/>
      <c r="G1" s="9"/>
      <c r="H1" s="9"/>
    </row>
    <row r="2" spans="1:10" s="10" customFormat="1" ht="5.25" customHeight="1" x14ac:dyDescent="0.2">
      <c r="A2" s="7"/>
      <c r="B2" s="7"/>
      <c r="C2" s="7"/>
      <c r="D2" s="8"/>
      <c r="E2" s="8"/>
      <c r="F2" s="9"/>
      <c r="G2" s="9"/>
      <c r="H2" s="9"/>
    </row>
    <row r="3" spans="1:10" s="12" customFormat="1" ht="12.75" customHeight="1" x14ac:dyDescent="0.2">
      <c r="A3" s="11"/>
      <c r="B3" s="457"/>
      <c r="C3" s="457"/>
      <c r="D3" s="457"/>
      <c r="E3" s="457"/>
      <c r="F3" s="457"/>
      <c r="G3" s="457"/>
      <c r="H3" s="457"/>
    </row>
    <row r="4" spans="1:10" s="10" customFormat="1" ht="5.0999999999999996" customHeight="1" x14ac:dyDescent="0.2">
      <c r="A4" s="7"/>
      <c r="B4" s="7"/>
      <c r="C4" s="7"/>
      <c r="D4" s="8"/>
      <c r="E4" s="8"/>
      <c r="F4" s="9"/>
      <c r="G4" s="9"/>
      <c r="H4" s="9"/>
      <c r="J4" s="7"/>
    </row>
    <row r="5" spans="1:10" s="3" customFormat="1" ht="18" x14ac:dyDescent="0.25">
      <c r="A5" s="13"/>
      <c r="B5" s="136" t="s">
        <v>677</v>
      </c>
    </row>
    <row r="6" spans="1:10" x14ac:dyDescent="0.2">
      <c r="A6" s="14"/>
    </row>
    <row r="7" spans="1:10" x14ac:dyDescent="0.2">
      <c r="A7" s="14"/>
      <c r="B7" s="16" t="s">
        <v>22</v>
      </c>
    </row>
    <row r="8" spans="1:10" x14ac:dyDescent="0.2">
      <c r="A8" s="14"/>
    </row>
    <row r="9" spans="1:10" x14ac:dyDescent="0.2">
      <c r="A9" s="12"/>
      <c r="B9" s="541"/>
      <c r="C9" s="542"/>
      <c r="D9" s="243" t="s">
        <v>23</v>
      </c>
      <c r="E9" s="243" t="s">
        <v>24</v>
      </c>
      <c r="F9" s="243" t="s">
        <v>25</v>
      </c>
      <c r="G9" s="243" t="s">
        <v>26</v>
      </c>
      <c r="H9" s="243" t="s">
        <v>27</v>
      </c>
      <c r="I9" s="243" t="s">
        <v>141</v>
      </c>
      <c r="J9" s="243" t="s">
        <v>142</v>
      </c>
    </row>
    <row r="10" spans="1:10" ht="33.75" x14ac:dyDescent="0.2">
      <c r="A10" s="12"/>
      <c r="B10" s="541"/>
      <c r="C10" s="467"/>
      <c r="D10" s="272" t="s">
        <v>538</v>
      </c>
      <c r="E10" s="272" t="s">
        <v>539</v>
      </c>
      <c r="F10" s="272" t="s">
        <v>540</v>
      </c>
      <c r="G10" s="272" t="s">
        <v>541</v>
      </c>
      <c r="H10" s="272" t="s">
        <v>542</v>
      </c>
      <c r="I10" s="272" t="s">
        <v>543</v>
      </c>
      <c r="J10" s="272" t="s">
        <v>124</v>
      </c>
    </row>
    <row r="11" spans="1:10" x14ac:dyDescent="0.2">
      <c r="A11" s="12"/>
      <c r="B11" s="132">
        <v>1</v>
      </c>
      <c r="C11" s="244" t="s">
        <v>544</v>
      </c>
      <c r="D11" s="271"/>
      <c r="E11" s="52"/>
      <c r="F11" s="52"/>
      <c r="G11" s="271"/>
      <c r="H11" s="271"/>
      <c r="I11" s="52"/>
      <c r="J11" s="52"/>
    </row>
    <row r="12" spans="1:10" x14ac:dyDescent="0.2">
      <c r="A12" s="12"/>
      <c r="B12" s="132">
        <v>2</v>
      </c>
      <c r="C12" s="244" t="s">
        <v>545</v>
      </c>
      <c r="D12" s="52"/>
      <c r="E12" s="271"/>
      <c r="F12" s="271"/>
      <c r="G12" s="271"/>
      <c r="H12" s="271"/>
      <c r="I12" s="52"/>
      <c r="J12" s="52"/>
    </row>
    <row r="13" spans="1:10" x14ac:dyDescent="0.2">
      <c r="A13" s="12"/>
      <c r="B13" s="132">
        <v>3</v>
      </c>
      <c r="C13" s="244" t="s">
        <v>21</v>
      </c>
      <c r="D13" s="271"/>
      <c r="E13" s="52"/>
      <c r="F13" s="271"/>
      <c r="G13" s="271"/>
      <c r="H13" s="52"/>
      <c r="I13" s="52"/>
      <c r="J13" s="52"/>
    </row>
    <row r="14" spans="1:10" x14ac:dyDescent="0.2">
      <c r="A14" s="12"/>
      <c r="B14" s="132">
        <v>4</v>
      </c>
      <c r="C14" s="244" t="s">
        <v>546</v>
      </c>
      <c r="D14" s="271"/>
      <c r="E14" s="271"/>
      <c r="F14" s="271"/>
      <c r="G14" s="52"/>
      <c r="H14" s="52"/>
      <c r="I14" s="52"/>
      <c r="J14" s="52"/>
    </row>
    <row r="15" spans="1:10" x14ac:dyDescent="0.2">
      <c r="A15" s="12"/>
      <c r="B15" s="132">
        <v>5</v>
      </c>
      <c r="C15" s="270" t="s">
        <v>30</v>
      </c>
      <c r="D15" s="271"/>
      <c r="E15" s="271"/>
      <c r="F15" s="271"/>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J31" sqref="J31"/>
    </sheetView>
  </sheetViews>
  <sheetFormatPr defaultColWidth="11.42578125" defaultRowHeight="11.25" x14ac:dyDescent="0.2"/>
  <cols>
    <col min="1" max="1" width="2.7109375" style="23" customWidth="1"/>
    <col min="2" max="2" width="4.140625" style="16" customWidth="1"/>
    <col min="3" max="3" width="33.42578125" style="16" customWidth="1"/>
    <col min="4" max="8" width="14.7109375" style="16" customWidth="1"/>
    <col min="9" max="16384" width="11.42578125" style="16"/>
  </cols>
  <sheetData>
    <row r="1" spans="1:8" s="10" customFormat="1" ht="11.25" customHeight="1" x14ac:dyDescent="0.2">
      <c r="A1" s="7"/>
      <c r="B1" s="7"/>
      <c r="C1" s="7"/>
      <c r="D1" s="8"/>
      <c r="E1" s="8"/>
      <c r="F1" s="9"/>
      <c r="G1" s="9"/>
      <c r="H1" s="9"/>
    </row>
    <row r="2" spans="1:8" s="10" customFormat="1" ht="5.25" customHeight="1" x14ac:dyDescent="0.2">
      <c r="A2" s="7"/>
      <c r="B2" s="7"/>
      <c r="C2" s="7"/>
      <c r="D2" s="8"/>
      <c r="E2" s="8"/>
      <c r="F2" s="9"/>
      <c r="G2" s="9"/>
      <c r="H2" s="9"/>
    </row>
    <row r="3" spans="1:8" s="12" customFormat="1" ht="12.75" customHeight="1" x14ac:dyDescent="0.2">
      <c r="A3" s="11"/>
      <c r="B3" s="457"/>
      <c r="C3" s="457"/>
      <c r="D3" s="457"/>
      <c r="E3" s="457"/>
      <c r="F3" s="457"/>
      <c r="G3" s="457"/>
      <c r="H3" s="457"/>
    </row>
    <row r="4" spans="1:8" s="10" customFormat="1" ht="5.0999999999999996" customHeight="1" x14ac:dyDescent="0.2">
      <c r="A4" s="7"/>
      <c r="B4" s="7"/>
      <c r="C4" s="7"/>
      <c r="D4" s="8"/>
      <c r="E4" s="8"/>
      <c r="F4" s="9"/>
      <c r="G4" s="9"/>
      <c r="H4" s="9"/>
    </row>
    <row r="5" spans="1:8" s="3" customFormat="1" ht="18" x14ac:dyDescent="0.25">
      <c r="A5" s="13"/>
      <c r="B5" s="136" t="s">
        <v>547</v>
      </c>
    </row>
    <row r="6" spans="1:8" x14ac:dyDescent="0.2">
      <c r="A6" s="14"/>
    </row>
    <row r="7" spans="1:8" x14ac:dyDescent="0.2">
      <c r="A7" s="14"/>
      <c r="B7" s="16" t="s">
        <v>22</v>
      </c>
    </row>
    <row r="8" spans="1:8" x14ac:dyDescent="0.2">
      <c r="A8" s="14"/>
    </row>
    <row r="9" spans="1:8" x14ac:dyDescent="0.2">
      <c r="A9" s="12"/>
      <c r="B9" s="541"/>
      <c r="C9" s="542"/>
      <c r="D9" s="243" t="s">
        <v>23</v>
      </c>
      <c r="E9" s="243" t="s">
        <v>24</v>
      </c>
      <c r="F9" s="243" t="s">
        <v>25</v>
      </c>
      <c r="G9" s="243" t="s">
        <v>26</v>
      </c>
      <c r="H9" s="243" t="s">
        <v>27</v>
      </c>
    </row>
    <row r="10" spans="1:8" ht="33.75" x14ac:dyDescent="0.2">
      <c r="A10" s="12"/>
      <c r="B10" s="541"/>
      <c r="C10" s="467"/>
      <c r="D10" s="272" t="s">
        <v>549</v>
      </c>
      <c r="E10" s="272" t="s">
        <v>550</v>
      </c>
      <c r="F10" s="272" t="s">
        <v>551</v>
      </c>
      <c r="G10" s="272" t="s">
        <v>552</v>
      </c>
      <c r="H10" s="272" t="s">
        <v>553</v>
      </c>
    </row>
    <row r="11" spans="1:8" x14ac:dyDescent="0.2">
      <c r="A11" s="12"/>
      <c r="B11" s="132">
        <v>1</v>
      </c>
      <c r="C11" s="244" t="s">
        <v>118</v>
      </c>
      <c r="D11" s="52"/>
      <c r="E11" s="52"/>
      <c r="F11" s="52"/>
      <c r="G11" s="52"/>
      <c r="H11" s="52"/>
    </row>
    <row r="12" spans="1:8" x14ac:dyDescent="0.2">
      <c r="A12" s="12"/>
      <c r="B12" s="132">
        <v>2</v>
      </c>
      <c r="C12" s="244" t="s">
        <v>554</v>
      </c>
      <c r="D12" s="52"/>
      <c r="E12" s="52"/>
      <c r="F12" s="52"/>
      <c r="G12" s="52"/>
      <c r="H12" s="52"/>
    </row>
    <row r="13" spans="1:8" x14ac:dyDescent="0.2">
      <c r="A13" s="12"/>
      <c r="B13" s="132">
        <v>3</v>
      </c>
      <c r="C13" s="244" t="s">
        <v>548</v>
      </c>
      <c r="D13" s="52"/>
      <c r="E13" s="52"/>
      <c r="F13" s="52"/>
      <c r="G13" s="52"/>
      <c r="H13" s="52"/>
    </row>
    <row r="14" spans="1:8" x14ac:dyDescent="0.2">
      <c r="A14" s="12"/>
      <c r="B14" s="132">
        <v>5</v>
      </c>
      <c r="C14" s="270"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8" x14ac:dyDescent="0.2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x14ac:dyDescent="0.2">
      <c r="A67" s="20"/>
    </row>
    <row r="68" spans="1:1" x14ac:dyDescent="0.2">
      <c r="A68" s="20"/>
    </row>
    <row r="69" spans="1:1" x14ac:dyDescent="0.2">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57"/>
  <sheetViews>
    <sheetView showGridLines="0" zoomScaleNormal="100" workbookViewId="0">
      <selection activeCell="K29" sqref="K29"/>
    </sheetView>
  </sheetViews>
  <sheetFormatPr defaultColWidth="11.42578125" defaultRowHeight="15" x14ac:dyDescent="0.2"/>
  <cols>
    <col min="1" max="1" width="61.42578125" style="135" customWidth="1"/>
    <col min="2" max="9" width="12" style="134" customWidth="1"/>
    <col min="10" max="16384" width="11.42578125" style="135"/>
  </cols>
  <sheetData>
    <row r="1" spans="1:11" x14ac:dyDescent="0.2">
      <c r="A1" s="133"/>
    </row>
    <row r="2" spans="1:11" ht="6" customHeight="1" x14ac:dyDescent="0.2">
      <c r="B2" s="135"/>
      <c r="C2" s="135"/>
      <c r="D2" s="135"/>
      <c r="E2" s="135"/>
      <c r="F2" s="135"/>
      <c r="G2" s="135"/>
      <c r="H2" s="135"/>
      <c r="I2" s="135"/>
    </row>
    <row r="3" spans="1:11" ht="18" x14ac:dyDescent="0.25">
      <c r="A3" s="136" t="s">
        <v>511</v>
      </c>
    </row>
    <row r="4" spans="1:11" ht="15.75" x14ac:dyDescent="0.25">
      <c r="A4" s="137"/>
    </row>
    <row r="5" spans="1:11" x14ac:dyDescent="0.2">
      <c r="A5" s="420" t="s">
        <v>169</v>
      </c>
      <c r="B5" s="258">
        <v>43830</v>
      </c>
      <c r="C5" s="258">
        <v>43921</v>
      </c>
      <c r="D5" s="258">
        <v>44012</v>
      </c>
      <c r="E5" s="258">
        <v>44104</v>
      </c>
      <c r="F5" s="258">
        <v>44196</v>
      </c>
      <c r="G5" s="258">
        <v>44286</v>
      </c>
      <c r="H5" s="258">
        <v>44377</v>
      </c>
      <c r="I5" s="258">
        <v>44469</v>
      </c>
      <c r="J5" s="258">
        <v>44561</v>
      </c>
      <c r="K5" s="258">
        <v>44651</v>
      </c>
    </row>
    <row r="6" spans="1:11" x14ac:dyDescent="0.2">
      <c r="A6" s="259" t="s">
        <v>22</v>
      </c>
      <c r="B6" s="259"/>
      <c r="C6" s="259"/>
      <c r="D6" s="259"/>
      <c r="E6" s="259"/>
      <c r="F6" s="259"/>
      <c r="G6" s="259"/>
      <c r="H6" s="259"/>
      <c r="I6" s="259"/>
      <c r="J6" s="259"/>
      <c r="K6" s="259"/>
    </row>
    <row r="7" spans="1:11" s="140" customFormat="1" ht="15" customHeight="1" x14ac:dyDescent="0.2">
      <c r="A7" s="138" t="s">
        <v>578</v>
      </c>
      <c r="B7" s="139">
        <v>122.93353480999907</v>
      </c>
      <c r="C7" s="139">
        <v>133.21439408800072</v>
      </c>
      <c r="D7" s="139">
        <v>258.41224959599987</v>
      </c>
      <c r="E7" s="139">
        <v>293.36513796999952</v>
      </c>
      <c r="F7" s="139">
        <v>240.83769431599967</v>
      </c>
      <c r="G7" s="139">
        <v>228.34427184800057</v>
      </c>
      <c r="H7" s="139">
        <v>200</v>
      </c>
      <c r="I7" s="139">
        <v>177.10916110999975</v>
      </c>
      <c r="J7" s="139">
        <v>260.3619431940005</v>
      </c>
      <c r="K7" s="139">
        <v>303.3923254580011</v>
      </c>
    </row>
    <row r="8" spans="1:11" s="140" customFormat="1" ht="15" customHeight="1" x14ac:dyDescent="0.2">
      <c r="A8" s="138" t="s">
        <v>579</v>
      </c>
      <c r="B8" s="139">
        <v>5835.7185736070669</v>
      </c>
      <c r="C8" s="139">
        <v>5896.2388511709487</v>
      </c>
      <c r="D8" s="139">
        <v>5498.7435902398074</v>
      </c>
      <c r="E8" s="139">
        <v>5450.4853382243109</v>
      </c>
      <c r="F8" s="139">
        <v>6721.3617913070493</v>
      </c>
      <c r="G8" s="139">
        <v>5040.6461602264371</v>
      </c>
      <c r="H8" s="139">
        <f>5309034.61466896/1000</f>
        <v>5309.0346146689599</v>
      </c>
      <c r="I8" s="139">
        <v>6413.8649869672809</v>
      </c>
      <c r="J8" s="139">
        <v>5229.4228076935115</v>
      </c>
      <c r="K8" s="139">
        <v>5106.4817834057385</v>
      </c>
    </row>
    <row r="9" spans="1:11" s="140" customFormat="1" ht="15" customHeight="1" x14ac:dyDescent="0.2">
      <c r="A9" s="138" t="s">
        <v>496</v>
      </c>
      <c r="B9" s="139">
        <v>9.0778524160000025</v>
      </c>
      <c r="C9" s="139">
        <v>10.494127399999998</v>
      </c>
      <c r="D9" s="139">
        <v>30.189060099999992</v>
      </c>
      <c r="E9" s="139">
        <v>178.50827768800005</v>
      </c>
      <c r="F9" s="139">
        <v>92.798061566999991</v>
      </c>
      <c r="G9" s="139">
        <v>90.128468472999998</v>
      </c>
      <c r="H9" s="139">
        <v>80.3</v>
      </c>
      <c r="I9" s="139">
        <v>60.259492074000008</v>
      </c>
      <c r="J9" s="139">
        <v>39.94528823600001</v>
      </c>
      <c r="K9" s="139">
        <v>39.493242814999995</v>
      </c>
    </row>
    <row r="10" spans="1:11" s="140" customFormat="1" ht="15" customHeight="1" x14ac:dyDescent="0.2">
      <c r="A10" s="138" t="s">
        <v>580</v>
      </c>
      <c r="B10" s="139">
        <v>884.55986672337633</v>
      </c>
      <c r="C10" s="139">
        <v>1082.8661975396581</v>
      </c>
      <c r="D10" s="139">
        <v>1164.8606085557865</v>
      </c>
      <c r="E10" s="139">
        <v>1162.2488533198286</v>
      </c>
      <c r="F10" s="139">
        <v>18.68129678</v>
      </c>
      <c r="G10" s="139">
        <v>1415.30953326394</v>
      </c>
      <c r="H10" s="139">
        <f>1374718.43776679/1000</f>
        <v>1374.71843776679</v>
      </c>
      <c r="I10" s="139">
        <f>1230820.01614656/1000</f>
        <v>1230.82001614656</v>
      </c>
      <c r="J10" s="139">
        <v>529.71988979443154</v>
      </c>
      <c r="K10" s="139">
        <v>430.66428904750114</v>
      </c>
    </row>
    <row r="11" spans="1:11" s="140" customFormat="1" ht="15" customHeight="1" x14ac:dyDescent="0.2">
      <c r="A11" s="138" t="s">
        <v>581</v>
      </c>
      <c r="B11" s="139">
        <v>36.800030889266317</v>
      </c>
      <c r="C11" s="139">
        <v>99.100663457600177</v>
      </c>
      <c r="D11" s="139">
        <v>121.9623755166658</v>
      </c>
      <c r="E11" s="139">
        <v>131.7690306885728</v>
      </c>
      <c r="F11" s="139">
        <v>0</v>
      </c>
      <c r="G11" s="139">
        <v>0</v>
      </c>
      <c r="H11" s="139">
        <v>0</v>
      </c>
      <c r="I11" s="139">
        <v>0</v>
      </c>
      <c r="J11" s="139">
        <v>0</v>
      </c>
      <c r="K11" s="139">
        <v>0</v>
      </c>
    </row>
    <row r="12" spans="1:11"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c r="H12" s="139">
        <v>31.3</v>
      </c>
      <c r="I12" s="139">
        <f>24886.9008/1000</f>
        <v>24.886900799999999</v>
      </c>
      <c r="J12" s="139">
        <v>295.90173419000007</v>
      </c>
      <c r="K12" s="139">
        <v>28.760434369999995</v>
      </c>
    </row>
    <row r="13" spans="1:11" s="140" customFormat="1" ht="15" customHeight="1" x14ac:dyDescent="0.2">
      <c r="A13" s="141" t="s">
        <v>519</v>
      </c>
      <c r="B13" s="142">
        <v>6925.2448922857084</v>
      </c>
      <c r="C13" s="142">
        <v>7255.2810669762084</v>
      </c>
      <c r="D13" s="142">
        <v>7102.7306716382591</v>
      </c>
      <c r="E13" s="142">
        <v>7242.7362911607124</v>
      </c>
      <c r="F13" s="142">
        <v>8727.3397601100496</v>
      </c>
      <c r="G13" s="142">
        <v>6796.5942237113777</v>
      </c>
      <c r="H13" s="142">
        <f>SUM(H7:H12)</f>
        <v>6995.3530524357502</v>
      </c>
      <c r="I13" s="142">
        <f>SUM(I7:I12)</f>
        <v>7906.9405570978415</v>
      </c>
      <c r="J13" s="142">
        <f>SUM(J7:J12)</f>
        <v>6355.3516631079438</v>
      </c>
      <c r="K13" s="142">
        <f>SUM(K7:K12)</f>
        <v>5908.7920750962412</v>
      </c>
    </row>
    <row r="14" spans="1:11"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c r="H14" s="139">
        <v>1653.7</v>
      </c>
      <c r="I14" s="139">
        <v>1653.7</v>
      </c>
      <c r="J14" s="139">
        <v>1576.1633099749999</v>
      </c>
      <c r="K14" s="139">
        <v>1576.1633099749999</v>
      </c>
    </row>
    <row r="15" spans="1:11" s="140" customFormat="1" ht="15" customHeight="1" x14ac:dyDescent="0.2">
      <c r="A15" s="141" t="s">
        <v>173</v>
      </c>
      <c r="B15" s="142">
        <v>8747.861520760709</v>
      </c>
      <c r="C15" s="142">
        <v>9077.8976954512091</v>
      </c>
      <c r="D15" s="142">
        <v>8925.3473001132588</v>
      </c>
      <c r="E15" s="142">
        <v>9065.352919635714</v>
      </c>
      <c r="F15" s="142">
        <v>8727.3397601100496</v>
      </c>
      <c r="G15" s="142">
        <v>8450.2551398513788</v>
      </c>
      <c r="H15" s="142">
        <f>H13+H14</f>
        <v>8649.0530524357509</v>
      </c>
      <c r="I15" s="142">
        <f>I13+I14</f>
        <v>9560.6405570978422</v>
      </c>
      <c r="J15" s="142">
        <f>J13+J14</f>
        <v>7931.5149730829435</v>
      </c>
      <c r="K15" s="142">
        <f>K13+K14</f>
        <v>7484.9553850712409</v>
      </c>
    </row>
    <row r="16" spans="1:11" s="140" customFormat="1" ht="11.25" x14ac:dyDescent="0.2">
      <c r="A16" s="143"/>
      <c r="B16" s="143"/>
      <c r="C16" s="143"/>
      <c r="D16" s="143"/>
      <c r="E16" s="143"/>
      <c r="F16" s="143"/>
      <c r="G16" s="143"/>
      <c r="H16" s="143"/>
      <c r="I16" s="143"/>
    </row>
    <row r="17" spans="1:11" s="140" customFormat="1" ht="11.25" x14ac:dyDescent="0.2">
      <c r="A17" s="143"/>
      <c r="B17" s="143"/>
      <c r="C17" s="143"/>
      <c r="D17" s="143"/>
      <c r="E17" s="143"/>
      <c r="F17" s="143"/>
      <c r="G17" s="143"/>
      <c r="H17" s="143"/>
      <c r="I17" s="143"/>
    </row>
    <row r="18" spans="1:11" s="140" customFormat="1" ht="11.25" x14ac:dyDescent="0.2">
      <c r="A18" s="420" t="s">
        <v>174</v>
      </c>
      <c r="B18" s="258">
        <v>43830</v>
      </c>
      <c r="C18" s="258">
        <v>43921</v>
      </c>
      <c r="D18" s="258">
        <v>44012</v>
      </c>
      <c r="E18" s="258">
        <v>44104</v>
      </c>
      <c r="F18" s="258">
        <v>44196</v>
      </c>
      <c r="G18" s="258">
        <v>44286</v>
      </c>
      <c r="H18" s="258">
        <v>44377</v>
      </c>
      <c r="I18" s="258">
        <v>44469</v>
      </c>
      <c r="J18" s="258">
        <v>44561</v>
      </c>
      <c r="K18" s="258">
        <v>44561</v>
      </c>
    </row>
    <row r="19" spans="1:11" s="140" customFormat="1" ht="11.25" x14ac:dyDescent="0.2">
      <c r="A19" s="259" t="s">
        <v>170</v>
      </c>
      <c r="B19" s="259"/>
      <c r="C19" s="259"/>
      <c r="D19" s="259"/>
      <c r="E19" s="259"/>
      <c r="F19" s="259"/>
      <c r="G19" s="259"/>
      <c r="H19" s="259"/>
      <c r="I19" s="259"/>
      <c r="J19" s="259"/>
      <c r="K19" s="259"/>
    </row>
    <row r="20" spans="1:11" s="140" customFormat="1" ht="15" customHeight="1" x14ac:dyDescent="0.2">
      <c r="A20" s="138" t="s">
        <v>520</v>
      </c>
      <c r="B20" s="144">
        <v>184.11972800000001</v>
      </c>
      <c r="C20" s="144">
        <v>184.11972800000001</v>
      </c>
      <c r="D20" s="144">
        <v>186.36849799999999</v>
      </c>
      <c r="E20" s="144">
        <v>186.53806899999998</v>
      </c>
      <c r="F20" s="144">
        <v>186.61373900000001</v>
      </c>
      <c r="G20" s="144">
        <v>186.855142</v>
      </c>
      <c r="H20" s="144">
        <v>186.9</v>
      </c>
      <c r="I20" s="144">
        <v>186.971486</v>
      </c>
      <c r="J20" s="144">
        <v>187.13719399999999</v>
      </c>
      <c r="K20" s="144">
        <v>187.40811099999999</v>
      </c>
    </row>
    <row r="21" spans="1:11" s="140" customFormat="1" ht="15" customHeight="1" x14ac:dyDescent="0.2">
      <c r="A21" s="138" t="s">
        <v>582</v>
      </c>
      <c r="B21" s="144">
        <v>786.67196625000008</v>
      </c>
      <c r="C21" s="144">
        <v>786.67196625000008</v>
      </c>
      <c r="D21" s="144">
        <v>786.67196625000008</v>
      </c>
      <c r="E21" s="144">
        <v>786.67196625000008</v>
      </c>
      <c r="F21" s="144">
        <v>786.67196625000008</v>
      </c>
      <c r="G21" s="144">
        <v>786.67196625000008</v>
      </c>
      <c r="H21" s="144">
        <v>786.7</v>
      </c>
      <c r="I21" s="144">
        <v>786.67196625000008</v>
      </c>
      <c r="J21" s="144">
        <v>786.67196625000008</v>
      </c>
      <c r="K21" s="144">
        <v>786.67196625000008</v>
      </c>
    </row>
    <row r="22" spans="1:11" s="140" customFormat="1" ht="15" customHeight="1" x14ac:dyDescent="0.2">
      <c r="A22" s="138" t="s">
        <v>175</v>
      </c>
      <c r="B22" s="144">
        <v>834.2067910924028</v>
      </c>
      <c r="C22" s="144">
        <v>879.99745832000019</v>
      </c>
      <c r="D22" s="144">
        <v>952.76783010000008</v>
      </c>
      <c r="E22" s="144">
        <v>1020.9693780900004</v>
      </c>
      <c r="F22" s="144">
        <v>1021.25393809</v>
      </c>
      <c r="G22" s="144">
        <v>1144.7990243500003</v>
      </c>
      <c r="H22" s="144">
        <v>1114.5999999999999</v>
      </c>
      <c r="I22" s="144">
        <v>756.58651119000001</v>
      </c>
      <c r="J22" s="144">
        <v>790.70449304999988</v>
      </c>
      <c r="K22" s="144">
        <v>822.70568490000028</v>
      </c>
    </row>
    <row r="23" spans="1:11" s="140" customFormat="1" ht="15" customHeight="1" x14ac:dyDescent="0.2">
      <c r="A23" s="421" t="s">
        <v>685</v>
      </c>
      <c r="B23" s="144"/>
      <c r="C23" s="144"/>
      <c r="D23" s="144"/>
      <c r="E23" s="144"/>
      <c r="F23" s="144">
        <v>-78.479159639999992</v>
      </c>
      <c r="G23" s="144">
        <v>-161.80725911796497</v>
      </c>
      <c r="H23" s="144">
        <v>-108.3</v>
      </c>
      <c r="I23" s="144">
        <v>-52.251846920000006</v>
      </c>
      <c r="J23" s="144">
        <v>0</v>
      </c>
      <c r="K23" s="144">
        <v>-3.5278251982405266</v>
      </c>
    </row>
    <row r="24" spans="1:11" s="140" customFormat="1" ht="15" customHeight="1" x14ac:dyDescent="0.2">
      <c r="A24" s="138" t="s">
        <v>583</v>
      </c>
      <c r="B24" s="144">
        <v>194.29714705243907</v>
      </c>
      <c r="C24" s="144">
        <v>189.22599694264929</v>
      </c>
      <c r="D24" s="144">
        <v>174.6298422199726</v>
      </c>
      <c r="E24" s="144">
        <v>176.25840188795783</v>
      </c>
      <c r="F24" s="144">
        <v>159.4077594102026</v>
      </c>
      <c r="G24" s="144">
        <v>94.388123948871524</v>
      </c>
      <c r="H24" s="144">
        <v>99.6</v>
      </c>
      <c r="I24" s="144">
        <v>112.06613132752244</v>
      </c>
      <c r="J24" s="144">
        <v>104.45365488577715</v>
      </c>
      <c r="K24" s="144">
        <v>54.092066021821495</v>
      </c>
    </row>
    <row r="25" spans="1:11" s="140" customFormat="1" ht="15" customHeight="1" x14ac:dyDescent="0.2">
      <c r="A25" s="141" t="s">
        <v>176</v>
      </c>
      <c r="B25" s="142">
        <v>1999.295632394842</v>
      </c>
      <c r="C25" s="142">
        <v>2040.0151495126495</v>
      </c>
      <c r="D25" s="142">
        <v>2100.4381365699728</v>
      </c>
      <c r="E25" s="142">
        <v>2170.4378152279583</v>
      </c>
      <c r="F25" s="142">
        <v>2075.4682431102028</v>
      </c>
      <c r="G25" s="142">
        <v>2050.9069974309068</v>
      </c>
      <c r="H25" s="142">
        <f>SUM(H20:H24)</f>
        <v>2079.5</v>
      </c>
      <c r="I25" s="142">
        <f>SUM(I20:I24)</f>
        <v>1790.0442478475227</v>
      </c>
      <c r="J25" s="142">
        <f>SUM(J20:J24)</f>
        <v>1868.9673081857773</v>
      </c>
      <c r="K25" s="142">
        <f>SUM(K20:K24)</f>
        <v>1847.350002973581</v>
      </c>
    </row>
    <row r="26" spans="1:11" s="140" customFormat="1" ht="15" customHeight="1" x14ac:dyDescent="0.2">
      <c r="A26" s="145" t="s">
        <v>172</v>
      </c>
      <c r="B26" s="146"/>
      <c r="C26" s="146"/>
      <c r="D26" s="146"/>
      <c r="E26" s="146"/>
      <c r="F26" s="146"/>
      <c r="G26" s="146"/>
      <c r="H26" s="146"/>
      <c r="I26" s="146"/>
      <c r="J26" s="146"/>
      <c r="K26" s="146"/>
    </row>
    <row r="27" spans="1:11" s="140" customFormat="1" ht="15" customHeight="1" x14ac:dyDescent="0.2">
      <c r="A27" s="147" t="s">
        <v>177</v>
      </c>
      <c r="B27" s="139">
        <v>-144.07205134</v>
      </c>
      <c r="C27" s="139">
        <v>-145.19074864873002</v>
      </c>
      <c r="D27" s="139">
        <v>-151.88384152999996</v>
      </c>
      <c r="E27" s="139">
        <v>-151.94825282999997</v>
      </c>
      <c r="F27" s="139">
        <v>-154.20006535000002</v>
      </c>
      <c r="G27" s="139">
        <v>-151.36952010578</v>
      </c>
      <c r="H27" s="139">
        <v>-148.04013725999999</v>
      </c>
      <c r="I27" s="139">
        <v>-224.47763316000001</v>
      </c>
      <c r="J27" s="139">
        <v>-226.95269474</v>
      </c>
      <c r="K27" s="139">
        <v>-206.95626014000004</v>
      </c>
    </row>
    <row r="28" spans="1:11" s="140" customFormat="1" ht="15" customHeight="1" x14ac:dyDescent="0.2">
      <c r="A28" s="147" t="s">
        <v>178</v>
      </c>
      <c r="B28" s="139">
        <v>-1.32977906364</v>
      </c>
      <c r="C28" s="139">
        <v>-1.32977906364</v>
      </c>
      <c r="D28" s="139">
        <v>-1.49820277513</v>
      </c>
      <c r="E28" s="139">
        <v>-2.5852016350800002</v>
      </c>
      <c r="F28" s="139">
        <v>-1.84802476605</v>
      </c>
      <c r="G28" s="139">
        <v>-1.84802476605</v>
      </c>
      <c r="H28" s="139">
        <v>-2.0935198185199999</v>
      </c>
      <c r="I28" s="139">
        <v>-1.291258303</v>
      </c>
      <c r="J28" s="139">
        <v>-0.88299374776000028</v>
      </c>
      <c r="K28" s="139">
        <v>-0.86897594623000007</v>
      </c>
    </row>
    <row r="29" spans="1:11" s="140" customFormat="1" ht="15" customHeight="1" x14ac:dyDescent="0.2">
      <c r="A29" s="141" t="s">
        <v>179</v>
      </c>
      <c r="B29" s="142">
        <v>1853.8938019912021</v>
      </c>
      <c r="C29" s="142">
        <v>1893.4946218002794</v>
      </c>
      <c r="D29" s="142">
        <v>1947.0560922648428</v>
      </c>
      <c r="E29" s="142">
        <v>2015.9043607628782</v>
      </c>
      <c r="F29" s="142">
        <v>1919.4201529941529</v>
      </c>
      <c r="G29" s="142">
        <v>1897.6894525590769</v>
      </c>
      <c r="H29" s="142">
        <f>H25+H27+H28</f>
        <v>1929.3663429214801</v>
      </c>
      <c r="I29" s="142">
        <f>I25+I27+I28</f>
        <v>1564.2753563845226</v>
      </c>
      <c r="J29" s="142">
        <f>J25+J27+J28</f>
        <v>1641.1316196980172</v>
      </c>
      <c r="K29" s="142">
        <f>K25+K27+K28</f>
        <v>1639.524766887351</v>
      </c>
    </row>
    <row r="30" spans="1:11" s="140" customFormat="1" ht="15" customHeight="1" x14ac:dyDescent="0.2">
      <c r="A30" s="138" t="s">
        <v>180</v>
      </c>
      <c r="B30" s="139">
        <v>44.55</v>
      </c>
      <c r="C30" s="139">
        <v>44.55</v>
      </c>
      <c r="D30" s="139">
        <v>244.55</v>
      </c>
      <c r="E30" s="139">
        <v>244.55</v>
      </c>
      <c r="F30" s="139">
        <v>244.55</v>
      </c>
      <c r="G30" s="139">
        <v>199.55</v>
      </c>
      <c r="H30" s="139">
        <v>199.6</v>
      </c>
      <c r="I30" s="139">
        <v>199.55</v>
      </c>
      <c r="J30" s="139">
        <v>199.55</v>
      </c>
      <c r="K30" s="139">
        <v>199.55</v>
      </c>
    </row>
    <row r="31" spans="1:11" s="140" customFormat="1" ht="15" customHeight="1" x14ac:dyDescent="0.2">
      <c r="A31" s="141" t="s">
        <v>181</v>
      </c>
      <c r="B31" s="142">
        <v>1898.443801991202</v>
      </c>
      <c r="C31" s="142">
        <v>1938.0446218002794</v>
      </c>
      <c r="D31" s="142">
        <v>2191.606092264843</v>
      </c>
      <c r="E31" s="142">
        <v>2260.4543607628784</v>
      </c>
      <c r="F31" s="142">
        <v>2163.9701529941531</v>
      </c>
      <c r="G31" s="142">
        <v>2097.2394525590771</v>
      </c>
      <c r="H31" s="142">
        <f>H29+H30</f>
        <v>2128.9663429214802</v>
      </c>
      <c r="I31" s="142">
        <v>2128.9663429214802</v>
      </c>
      <c r="J31" s="142">
        <v>2128.9663429214802</v>
      </c>
      <c r="K31" s="142">
        <v>2128.9663429214802</v>
      </c>
    </row>
    <row r="32" spans="1:11" s="140" customFormat="1" ht="15" customHeight="1" x14ac:dyDescent="0.2">
      <c r="A32" s="138" t="s">
        <v>182</v>
      </c>
      <c r="B32" s="139">
        <v>64.859166509999994</v>
      </c>
      <c r="C32" s="139">
        <v>64.891666499999999</v>
      </c>
      <c r="D32" s="139">
        <v>64.924166490000005</v>
      </c>
      <c r="E32" s="139">
        <v>64.956666479999996</v>
      </c>
      <c r="F32" s="139">
        <v>64.989166470000001</v>
      </c>
      <c r="G32" s="139">
        <v>106.8</v>
      </c>
      <c r="H32" s="139">
        <v>65</v>
      </c>
      <c r="I32" s="139">
        <v>65</v>
      </c>
      <c r="J32" s="139">
        <v>65</v>
      </c>
      <c r="K32" s="139">
        <v>65</v>
      </c>
    </row>
    <row r="33" spans="1:11" s="140" customFormat="1" ht="15" customHeight="1" x14ac:dyDescent="0.2">
      <c r="A33" s="141" t="s">
        <v>183</v>
      </c>
      <c r="B33" s="142">
        <v>64.859166509999994</v>
      </c>
      <c r="C33" s="142">
        <v>64.891666499999999</v>
      </c>
      <c r="D33" s="142">
        <v>64.924166490000005</v>
      </c>
      <c r="E33" s="142">
        <v>64.956666479999996</v>
      </c>
      <c r="F33" s="142">
        <v>64.989166470000001</v>
      </c>
      <c r="G33" s="142">
        <v>106.8</v>
      </c>
      <c r="H33" s="142">
        <f>H32</f>
        <v>65</v>
      </c>
      <c r="I33" s="142">
        <f>I32</f>
        <v>65</v>
      </c>
      <c r="J33" s="142">
        <f>J32</f>
        <v>65</v>
      </c>
      <c r="K33" s="142">
        <f>K32</f>
        <v>65</v>
      </c>
    </row>
    <row r="34" spans="1:11" s="140" customFormat="1" ht="11.25" x14ac:dyDescent="0.2">
      <c r="A34" s="141" t="s">
        <v>184</v>
      </c>
      <c r="B34" s="142">
        <v>1963.302968501202</v>
      </c>
      <c r="C34" s="142">
        <v>2002.9362883002793</v>
      </c>
      <c r="D34" s="142">
        <v>2256.5302587548431</v>
      </c>
      <c r="E34" s="142">
        <v>2325.4110272428784</v>
      </c>
      <c r="F34" s="142">
        <v>2228.9593194641529</v>
      </c>
      <c r="G34" s="142">
        <v>2204.0394525590773</v>
      </c>
      <c r="H34" s="142">
        <f>H31+H33</f>
        <v>2193.9663429214802</v>
      </c>
      <c r="I34" s="142">
        <f>I31+I33</f>
        <v>2193.9663429214802</v>
      </c>
      <c r="J34" s="142">
        <f>J31+J33</f>
        <v>2193.9663429214802</v>
      </c>
      <c r="K34" s="142">
        <f>K31+K33</f>
        <v>2193.9663429214802</v>
      </c>
    </row>
    <row r="35" spans="1:11" s="140" customFormat="1" ht="11.25" x14ac:dyDescent="0.2">
      <c r="A35" s="143"/>
      <c r="B35" s="143"/>
      <c r="C35" s="143"/>
      <c r="D35" s="143"/>
      <c r="E35" s="143"/>
      <c r="F35" s="143"/>
      <c r="G35" s="143"/>
      <c r="H35" s="143"/>
      <c r="I35" s="143"/>
    </row>
    <row r="36" spans="1:11" s="140" customFormat="1" ht="11.25" x14ac:dyDescent="0.2">
      <c r="A36" s="143"/>
      <c r="B36" s="143"/>
      <c r="C36" s="143"/>
      <c r="D36" s="143"/>
      <c r="E36" s="143"/>
      <c r="F36" s="143"/>
      <c r="G36" s="143"/>
      <c r="H36" s="143"/>
      <c r="I36" s="143"/>
    </row>
    <row r="37" spans="1:11" s="140" customFormat="1" ht="11.25" x14ac:dyDescent="0.2">
      <c r="A37" s="420" t="s">
        <v>185</v>
      </c>
      <c r="B37" s="258">
        <v>43830</v>
      </c>
      <c r="C37" s="258">
        <v>43921</v>
      </c>
      <c r="D37" s="258">
        <v>44012</v>
      </c>
      <c r="E37" s="258">
        <v>44104</v>
      </c>
      <c r="F37" s="258">
        <v>44196</v>
      </c>
      <c r="G37" s="258">
        <v>44286</v>
      </c>
      <c r="H37" s="258">
        <v>44377</v>
      </c>
      <c r="I37" s="258">
        <v>44469</v>
      </c>
      <c r="J37" s="258">
        <v>44561</v>
      </c>
      <c r="K37" s="258">
        <v>44561</v>
      </c>
    </row>
    <row r="38" spans="1:11" s="140" customFormat="1" ht="15" customHeight="1" x14ac:dyDescent="0.2">
      <c r="A38" s="259" t="s">
        <v>186</v>
      </c>
      <c r="B38" s="259"/>
      <c r="C38" s="259"/>
      <c r="D38" s="259"/>
      <c r="E38" s="259"/>
      <c r="F38" s="259"/>
      <c r="G38" s="259"/>
      <c r="H38" s="259"/>
      <c r="I38" s="259"/>
      <c r="J38" s="259"/>
      <c r="K38" s="259"/>
    </row>
    <row r="39" spans="1:11" s="140" customFormat="1" ht="15" customHeight="1" x14ac:dyDescent="0.2">
      <c r="A39" s="143"/>
      <c r="B39" s="152"/>
      <c r="C39" s="152"/>
      <c r="D39" s="152"/>
      <c r="E39" s="152"/>
      <c r="F39" s="152"/>
      <c r="G39" s="152"/>
      <c r="H39" s="152"/>
      <c r="I39" s="152"/>
    </row>
    <row r="40" spans="1:11" s="140" customFormat="1" ht="15" customHeight="1" x14ac:dyDescent="0.2">
      <c r="A40" s="148" t="s">
        <v>187</v>
      </c>
      <c r="B40" s="149">
        <v>0.21192537142837492</v>
      </c>
      <c r="C40" s="149">
        <v>0.20858294346598327</v>
      </c>
      <c r="D40" s="149">
        <v>0.21814905647874738</v>
      </c>
      <c r="E40" s="149">
        <v>0.22237461449475335</v>
      </c>
      <c r="F40" s="149">
        <v>0.22731983756744864</v>
      </c>
      <c r="G40" s="149">
        <v>0.22457185270176977</v>
      </c>
      <c r="H40" s="149">
        <v>0.22307862440876894</v>
      </c>
      <c r="I40" s="149">
        <v>0.18779308490174484</v>
      </c>
      <c r="J40" s="149">
        <v>0.20691275566742287</v>
      </c>
      <c r="K40" s="149">
        <v>0.21904269064280418</v>
      </c>
    </row>
    <row r="41" spans="1:11" s="140" customFormat="1" ht="15" customHeight="1" x14ac:dyDescent="0.2">
      <c r="A41" s="148" t="s">
        <v>180</v>
      </c>
      <c r="B41" s="149">
        <v>5.0926732086776279E-3</v>
      </c>
      <c r="C41" s="149">
        <v>4.9075239107754321E-3</v>
      </c>
      <c r="D41" s="149">
        <v>2.7399494022702822E-2</v>
      </c>
      <c r="E41" s="149">
        <v>2.6976335302986432E-2</v>
      </c>
      <c r="F41" s="149">
        <v>2.8021138940615337E-2</v>
      </c>
      <c r="G41" s="149">
        <v>2.3614671592449649E-2</v>
      </c>
      <c r="H41" s="149">
        <v>2.3072032351576038E-2</v>
      </c>
      <c r="I41" s="149">
        <v>2.3956210739493028E-2</v>
      </c>
      <c r="J41" s="149">
        <v>2.5159127944309467E-2</v>
      </c>
      <c r="K41" s="149">
        <v>2.6660145549832259E-2</v>
      </c>
    </row>
    <row r="42" spans="1:11" s="140" customFormat="1" ht="15" customHeight="1" x14ac:dyDescent="0.2">
      <c r="A42" s="148" t="s">
        <v>188</v>
      </c>
      <c r="B42" s="149">
        <v>7.4142882070176936E-3</v>
      </c>
      <c r="C42" s="149">
        <v>7.1483143649565678E-3</v>
      </c>
      <c r="D42" s="149">
        <v>7.2741333537997051E-3</v>
      </c>
      <c r="E42" s="149">
        <v>7.1653764675066178E-3</v>
      </c>
      <c r="F42" s="149">
        <v>7.4466181283608379E-3</v>
      </c>
      <c r="G42" s="149">
        <v>1.2638671641561655E-2</v>
      </c>
      <c r="H42" s="149">
        <v>7.5153199842267204E-3</v>
      </c>
      <c r="I42" s="149">
        <v>7.8033259737762262E-3</v>
      </c>
      <c r="J42" s="149">
        <v>8.195155682185512E-3</v>
      </c>
      <c r="K42" s="149">
        <v>8.684086498316701E-3</v>
      </c>
    </row>
    <row r="43" spans="1:11" x14ac:dyDescent="0.2">
      <c r="A43" s="150" t="s">
        <v>511</v>
      </c>
      <c r="B43" s="151">
        <v>0.22443233284407024</v>
      </c>
      <c r="C43" s="151">
        <v>0.22063878174171525</v>
      </c>
      <c r="D43" s="151">
        <v>0.25282268385524992</v>
      </c>
      <c r="E43" s="151">
        <v>0.2565163262652464</v>
      </c>
      <c r="F43" s="151">
        <v>0.26278759463642481</v>
      </c>
      <c r="G43" s="151">
        <v>0.26082519593578107</v>
      </c>
      <c r="H43" s="151">
        <f>H40+H41+H42</f>
        <v>0.2536659767445717</v>
      </c>
      <c r="I43" s="151">
        <f>I40+I41+I42</f>
        <v>0.2195526216150141</v>
      </c>
      <c r="J43" s="151">
        <f>J40+J41+J42</f>
        <v>0.24026703929391785</v>
      </c>
      <c r="K43" s="151">
        <f>K40+K41+K42</f>
        <v>0.25438692269095314</v>
      </c>
    </row>
    <row r="45" spans="1:11" x14ac:dyDescent="0.2">
      <c r="A45" s="420" t="s">
        <v>555</v>
      </c>
      <c r="B45" s="258">
        <v>43830</v>
      </c>
      <c r="C45" s="258">
        <v>43921</v>
      </c>
      <c r="D45" s="258">
        <v>44012</v>
      </c>
      <c r="E45" s="258">
        <v>44104</v>
      </c>
      <c r="F45" s="258">
        <v>44196</v>
      </c>
      <c r="G45" s="258">
        <v>44286</v>
      </c>
      <c r="H45" s="258">
        <v>44377</v>
      </c>
      <c r="I45" s="258">
        <v>44469</v>
      </c>
      <c r="J45" s="258">
        <v>44561</v>
      </c>
      <c r="K45" s="258">
        <v>44561</v>
      </c>
    </row>
    <row r="46" spans="1:11" x14ac:dyDescent="0.2">
      <c r="A46" s="259" t="s">
        <v>186</v>
      </c>
      <c r="B46" s="259"/>
      <c r="C46" s="259"/>
      <c r="D46" s="259"/>
      <c r="E46" s="259"/>
      <c r="F46" s="259"/>
      <c r="G46" s="259"/>
      <c r="H46" s="259"/>
      <c r="I46" s="259"/>
      <c r="J46" s="259"/>
      <c r="K46" s="259"/>
    </row>
    <row r="47" spans="1:11" x14ac:dyDescent="0.2">
      <c r="A47" s="148" t="s">
        <v>558</v>
      </c>
      <c r="B47" s="149">
        <v>4.4999999999999998E-2</v>
      </c>
      <c r="C47" s="149">
        <v>4.4999999999999998E-2</v>
      </c>
      <c r="D47" s="151">
        <v>4.4999999999999998E-2</v>
      </c>
      <c r="E47" s="151">
        <v>4.4999999999999998E-2</v>
      </c>
      <c r="F47" s="151">
        <v>4.4999999999999998E-2</v>
      </c>
      <c r="G47" s="151">
        <v>4.4999999999999998E-2</v>
      </c>
      <c r="H47" s="151">
        <f>G47</f>
        <v>4.4999999999999998E-2</v>
      </c>
      <c r="I47" s="151">
        <f>H47</f>
        <v>4.4999999999999998E-2</v>
      </c>
      <c r="J47" s="151">
        <f>I47</f>
        <v>4.4999999999999998E-2</v>
      </c>
      <c r="K47" s="151">
        <f>J47</f>
        <v>4.4999999999999998E-2</v>
      </c>
    </row>
    <row r="48" spans="1:11" x14ac:dyDescent="0.2">
      <c r="A48" s="148" t="s">
        <v>556</v>
      </c>
      <c r="B48" s="149">
        <v>2.5000000000000001E-2</v>
      </c>
      <c r="C48" s="149">
        <v>2.5000000000000001E-2</v>
      </c>
      <c r="D48" s="149">
        <v>2.5000000000000001E-2</v>
      </c>
      <c r="E48" s="149">
        <v>2.5000000000000001E-2</v>
      </c>
      <c r="F48" s="149">
        <v>2.5000000000000001E-2</v>
      </c>
      <c r="G48" s="149">
        <v>2.5000000000000001E-2</v>
      </c>
      <c r="H48" s="149">
        <f>G48</f>
        <v>2.5000000000000001E-2</v>
      </c>
      <c r="I48" s="149">
        <f t="shared" ref="I48:K57" si="0">H48</f>
        <v>2.5000000000000001E-2</v>
      </c>
      <c r="J48" s="149">
        <f t="shared" si="0"/>
        <v>2.5000000000000001E-2</v>
      </c>
      <c r="K48" s="149">
        <f t="shared" si="0"/>
        <v>2.5000000000000001E-2</v>
      </c>
    </row>
    <row r="49" spans="1:11" x14ac:dyDescent="0.2">
      <c r="A49" s="148" t="s">
        <v>557</v>
      </c>
      <c r="B49" s="149">
        <v>0.03</v>
      </c>
      <c r="C49" s="149">
        <v>0.03</v>
      </c>
      <c r="D49" s="149">
        <v>0.03</v>
      </c>
      <c r="E49" s="149">
        <v>0.03</v>
      </c>
      <c r="F49" s="149">
        <v>0.03</v>
      </c>
      <c r="G49" s="149">
        <v>0.03</v>
      </c>
      <c r="H49" s="149">
        <f>G49</f>
        <v>0.03</v>
      </c>
      <c r="I49" s="149">
        <f t="shared" si="0"/>
        <v>0.03</v>
      </c>
      <c r="J49" s="149">
        <f t="shared" si="0"/>
        <v>0.03</v>
      </c>
      <c r="K49" s="149">
        <f t="shared" si="0"/>
        <v>0.03</v>
      </c>
    </row>
    <row r="50" spans="1:11" x14ac:dyDescent="0.2">
      <c r="A50" s="148" t="s">
        <v>569</v>
      </c>
      <c r="B50" s="149">
        <v>1.7999999999999999E-2</v>
      </c>
      <c r="C50" s="149">
        <v>5.2302379903421663E-3</v>
      </c>
      <c r="D50" s="149">
        <v>5.1673376256063819E-3</v>
      </c>
      <c r="E50" s="149">
        <v>4.9927406493235895E-3</v>
      </c>
      <c r="F50" s="149">
        <v>4.9092090211249988E-3</v>
      </c>
      <c r="G50" s="149">
        <v>4.8809768291311045E-3</v>
      </c>
      <c r="H50" s="149">
        <v>4.8850215231078581E-3</v>
      </c>
      <c r="I50" s="149">
        <v>4.9830902802812573E-3</v>
      </c>
      <c r="J50" s="149">
        <v>5.5778987570582915E-3</v>
      </c>
      <c r="K50" s="149">
        <v>5.598676764016988E-3</v>
      </c>
    </row>
    <row r="51" spans="1:11" x14ac:dyDescent="0.2">
      <c r="A51" s="150" t="s">
        <v>559</v>
      </c>
      <c r="B51" s="151">
        <v>0.11800000000000001</v>
      </c>
      <c r="C51" s="151">
        <v>0.10523023799034217</v>
      </c>
      <c r="D51" s="151">
        <v>0.10516733762560639</v>
      </c>
      <c r="E51" s="151">
        <v>0.1049927406493236</v>
      </c>
      <c r="F51" s="151">
        <v>0.10490920902112501</v>
      </c>
      <c r="G51" s="151">
        <v>0.10488097682913111</v>
      </c>
      <c r="H51" s="151">
        <f>H47+H48+H49+H50</f>
        <v>0.10488502152310786</v>
      </c>
      <c r="I51" s="151">
        <f>I47+I48+I49+I50</f>
        <v>0.10498309028028126</v>
      </c>
      <c r="J51" s="151">
        <f>J47+J48+J49+J50</f>
        <v>0.10557789875705829</v>
      </c>
      <c r="K51" s="151">
        <f>K47+K48+K49+K50</f>
        <v>0.10559867676401699</v>
      </c>
    </row>
    <row r="52" spans="1:11" x14ac:dyDescent="0.2">
      <c r="A52" s="148" t="s">
        <v>560</v>
      </c>
      <c r="B52" s="149">
        <v>1.4999999999999999E-2</v>
      </c>
      <c r="C52" s="149">
        <v>1.4999999999999999E-2</v>
      </c>
      <c r="D52" s="149">
        <v>1.4999999999999999E-2</v>
      </c>
      <c r="E52" s="149">
        <v>1.4999999999999999E-2</v>
      </c>
      <c r="F52" s="149">
        <v>1.4999999999999999E-2</v>
      </c>
      <c r="G52" s="149">
        <v>1.4999999999999999E-2</v>
      </c>
      <c r="H52" s="149">
        <v>1.4999999999999999E-2</v>
      </c>
      <c r="I52" s="149">
        <f t="shared" si="0"/>
        <v>1.4999999999999999E-2</v>
      </c>
      <c r="J52" s="149">
        <f t="shared" si="0"/>
        <v>1.4999999999999999E-2</v>
      </c>
      <c r="K52" s="149">
        <f t="shared" si="0"/>
        <v>1.4999999999999999E-2</v>
      </c>
    </row>
    <row r="53" spans="1:11" x14ac:dyDescent="0.2">
      <c r="A53" s="150" t="s">
        <v>561</v>
      </c>
      <c r="B53" s="151">
        <v>0.13300000000000001</v>
      </c>
      <c r="C53" s="151">
        <v>0.12023023799034217</v>
      </c>
      <c r="D53" s="151">
        <v>0.12016733762560639</v>
      </c>
      <c r="E53" s="151">
        <v>0.1199927406493236</v>
      </c>
      <c r="F53" s="151">
        <v>0.11990920902112501</v>
      </c>
      <c r="G53" s="151">
        <v>0.11988097682913111</v>
      </c>
      <c r="H53" s="151">
        <f>H51+H52</f>
        <v>0.11988502152310786</v>
      </c>
      <c r="I53" s="151">
        <f>I51+I52</f>
        <v>0.11998309028028126</v>
      </c>
      <c r="J53" s="151">
        <f>J51+J52</f>
        <v>0.12057789875705829</v>
      </c>
      <c r="K53" s="151">
        <f>K51+K52</f>
        <v>0.12059867676401699</v>
      </c>
    </row>
    <row r="54" spans="1:11" x14ac:dyDescent="0.2">
      <c r="A54" s="148" t="s">
        <v>562</v>
      </c>
      <c r="B54" s="149">
        <v>0.02</v>
      </c>
      <c r="C54" s="149">
        <v>0.02</v>
      </c>
      <c r="D54" s="149">
        <v>0.02</v>
      </c>
      <c r="E54" s="149">
        <v>0.02</v>
      </c>
      <c r="F54" s="149">
        <v>0.02</v>
      </c>
      <c r="G54" s="149">
        <v>0.02</v>
      </c>
      <c r="H54" s="149">
        <v>0.02</v>
      </c>
      <c r="I54" s="149">
        <f t="shared" si="0"/>
        <v>0.02</v>
      </c>
      <c r="J54" s="149">
        <f t="shared" si="0"/>
        <v>0.02</v>
      </c>
      <c r="K54" s="149">
        <f t="shared" si="0"/>
        <v>0.02</v>
      </c>
    </row>
    <row r="55" spans="1:11" x14ac:dyDescent="0.2">
      <c r="A55" s="150" t="s">
        <v>563</v>
      </c>
      <c r="B55" s="151">
        <v>0.153</v>
      </c>
      <c r="C55" s="151">
        <v>0.14023023799034218</v>
      </c>
      <c r="D55" s="151">
        <v>0.14016733762560638</v>
      </c>
      <c r="E55" s="151">
        <v>0.1399927406493236</v>
      </c>
      <c r="F55" s="151">
        <v>0.139909209021125</v>
      </c>
      <c r="G55" s="151">
        <v>0.13988097682913112</v>
      </c>
      <c r="H55" s="151">
        <f>H53+H54</f>
        <v>0.13988502152310786</v>
      </c>
      <c r="I55" s="151">
        <f>I53+I54</f>
        <v>0.13998309028028125</v>
      </c>
      <c r="J55" s="151">
        <f>J53+J54</f>
        <v>0.14057789875705828</v>
      </c>
      <c r="K55" s="151">
        <f>K53+K54</f>
        <v>0.14059867676401699</v>
      </c>
    </row>
    <row r="56" spans="1:11" x14ac:dyDescent="0.2">
      <c r="A56" s="150"/>
      <c r="B56" s="151"/>
      <c r="C56" s="151"/>
      <c r="D56" s="151"/>
      <c r="E56" s="151"/>
      <c r="F56" s="151"/>
      <c r="G56" s="151"/>
      <c r="H56" s="151"/>
      <c r="I56" s="151"/>
      <c r="J56" s="151"/>
      <c r="K56" s="151"/>
    </row>
    <row r="57" spans="1:11" x14ac:dyDescent="0.2">
      <c r="A57" s="150" t="s">
        <v>564</v>
      </c>
      <c r="B57" s="151">
        <v>6.5000000000000002E-2</v>
      </c>
      <c r="C57" s="151">
        <v>6.5000000000000002E-2</v>
      </c>
      <c r="D57" s="151">
        <v>6.5000000000000002E-2</v>
      </c>
      <c r="E57" s="151">
        <v>6.5000000000000002E-2</v>
      </c>
      <c r="F57" s="151">
        <v>6.5000000000000002E-2</v>
      </c>
      <c r="G57" s="151">
        <v>6.5000000000000002E-2</v>
      </c>
      <c r="H57" s="151">
        <v>6.5000000000000002E-2</v>
      </c>
      <c r="I57" s="151">
        <f t="shared" si="0"/>
        <v>6.5000000000000002E-2</v>
      </c>
      <c r="J57" s="151">
        <f t="shared" si="0"/>
        <v>6.5000000000000002E-2</v>
      </c>
      <c r="K57" s="151">
        <f t="shared" si="0"/>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I53:I5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N135"/>
  <sheetViews>
    <sheetView topLeftCell="C1" workbookViewId="0">
      <selection activeCell="N9" sqref="N9"/>
    </sheetView>
  </sheetViews>
  <sheetFormatPr defaultColWidth="9.140625" defaultRowHeight="14.25" x14ac:dyDescent="0.2"/>
  <cols>
    <col min="1" max="1" width="4.7109375" style="133" customWidth="1"/>
    <col min="2" max="2" width="58.28515625" style="133" customWidth="1"/>
    <col min="3" max="7" width="24.5703125" style="133" customWidth="1"/>
    <col min="8" max="12" width="22" style="133" customWidth="1"/>
    <col min="13" max="13" width="14.85546875" style="133" bestFit="1" customWidth="1"/>
    <col min="14" max="14" width="18.42578125" style="133" customWidth="1"/>
    <col min="15" max="16384" width="9.140625" style="133"/>
  </cols>
  <sheetData>
    <row r="2" spans="1:14" s="153" customFormat="1" ht="6" customHeight="1" x14ac:dyDescent="0.2"/>
    <row r="3" spans="1:14" ht="18" x14ac:dyDescent="0.25">
      <c r="A3" s="136" t="s">
        <v>528</v>
      </c>
      <c r="N3" s="153"/>
    </row>
    <row r="4" spans="1:14" ht="15.75" x14ac:dyDescent="0.25">
      <c r="A4" s="154" t="s">
        <v>512</v>
      </c>
      <c r="N4" s="153"/>
    </row>
    <row r="5" spans="1:14" ht="18" x14ac:dyDescent="0.25">
      <c r="A5" s="136"/>
      <c r="N5" s="153"/>
    </row>
    <row r="6" spans="1:14" ht="22.5" customHeight="1" x14ac:dyDescent="0.2">
      <c r="A6" s="433" t="s">
        <v>189</v>
      </c>
      <c r="B6" s="434"/>
      <c r="C6" s="245" t="s">
        <v>190</v>
      </c>
      <c r="D6" s="245" t="s">
        <v>593</v>
      </c>
      <c r="E6" s="245" t="s">
        <v>680</v>
      </c>
      <c r="F6" s="245" t="s">
        <v>681</v>
      </c>
      <c r="G6" s="245" t="s">
        <v>682</v>
      </c>
      <c r="H6" s="245" t="s">
        <v>684</v>
      </c>
      <c r="I6" s="245" t="s">
        <v>691</v>
      </c>
      <c r="J6" s="245" t="s">
        <v>692</v>
      </c>
      <c r="K6" s="245" t="s">
        <v>693</v>
      </c>
      <c r="L6" s="245" t="s">
        <v>694</v>
      </c>
      <c r="M6" s="246" t="s">
        <v>191</v>
      </c>
      <c r="N6" s="153"/>
    </row>
    <row r="7" spans="1:14" ht="22.5" x14ac:dyDescent="0.2">
      <c r="A7" s="155">
        <v>1</v>
      </c>
      <c r="B7" s="156" t="s">
        <v>192</v>
      </c>
      <c r="C7" s="157">
        <v>970.79169425000009</v>
      </c>
      <c r="D7" s="157">
        <v>970.79169425000009</v>
      </c>
      <c r="E7" s="157">
        <v>973.04046425000013</v>
      </c>
      <c r="F7" s="157">
        <v>973.21003525000003</v>
      </c>
      <c r="G7" s="157">
        <v>973.28570525000009</v>
      </c>
      <c r="H7" s="157">
        <v>973.52710825000008</v>
      </c>
      <c r="I7" s="157">
        <v>973.56657725000014</v>
      </c>
      <c r="J7" s="157">
        <v>973.64345225000011</v>
      </c>
      <c r="K7" s="157">
        <v>973.8091602500001</v>
      </c>
      <c r="L7" s="157">
        <v>974.08007725000004</v>
      </c>
      <c r="M7" s="158" t="s">
        <v>193</v>
      </c>
      <c r="N7" s="153"/>
    </row>
    <row r="8" spans="1:14" ht="15" x14ac:dyDescent="0.2">
      <c r="A8" s="155"/>
      <c r="B8" s="156" t="s">
        <v>194</v>
      </c>
      <c r="C8" s="159"/>
      <c r="D8" s="159"/>
      <c r="E8" s="159"/>
      <c r="F8" s="159"/>
      <c r="G8" s="159"/>
      <c r="H8" s="159"/>
      <c r="I8" s="159"/>
      <c r="J8" s="159"/>
      <c r="K8" s="159"/>
      <c r="L8" s="159"/>
      <c r="M8" s="158" t="s">
        <v>195</v>
      </c>
      <c r="N8" s="153"/>
    </row>
    <row r="9" spans="1:14" ht="15" x14ac:dyDescent="0.2">
      <c r="A9" s="155"/>
      <c r="B9" s="156" t="s">
        <v>196</v>
      </c>
      <c r="C9" s="159"/>
      <c r="D9" s="159"/>
      <c r="E9" s="159"/>
      <c r="F9" s="159"/>
      <c r="G9" s="159"/>
      <c r="H9" s="159"/>
      <c r="I9" s="159"/>
      <c r="J9" s="159"/>
      <c r="K9" s="159"/>
      <c r="L9" s="159"/>
      <c r="M9" s="158" t="s">
        <v>195</v>
      </c>
      <c r="N9" s="153"/>
    </row>
    <row r="10" spans="1:14" ht="15" x14ac:dyDescent="0.2">
      <c r="A10" s="155"/>
      <c r="B10" s="156" t="s">
        <v>197</v>
      </c>
      <c r="C10" s="159"/>
      <c r="D10" s="159"/>
      <c r="E10" s="159"/>
      <c r="F10" s="159"/>
      <c r="G10" s="159"/>
      <c r="H10" s="159"/>
      <c r="I10" s="159"/>
      <c r="J10" s="159"/>
      <c r="K10" s="159"/>
      <c r="L10" s="159"/>
      <c r="M10" s="158" t="s">
        <v>195</v>
      </c>
      <c r="N10" s="153"/>
    </row>
    <row r="11" spans="1:14" ht="15" x14ac:dyDescent="0.2">
      <c r="A11" s="155">
        <v>2</v>
      </c>
      <c r="B11" s="156" t="s">
        <v>198</v>
      </c>
      <c r="C11" s="157">
        <v>834.2067910924028</v>
      </c>
      <c r="D11" s="157">
        <v>879.99745832000019</v>
      </c>
      <c r="E11" s="157">
        <v>952.76783010000008</v>
      </c>
      <c r="F11" s="157">
        <v>1020.9693780900005</v>
      </c>
      <c r="G11" s="157">
        <v>1085.7312417600001</v>
      </c>
      <c r="H11" s="157">
        <v>1144.7990243500001</v>
      </c>
      <c r="I11" s="157">
        <v>1114.62930022</v>
      </c>
      <c r="J11" s="157">
        <v>756.5865111899999</v>
      </c>
      <c r="K11" s="157">
        <v>790.70449304999988</v>
      </c>
      <c r="L11" s="157">
        <v>822.70568490000028</v>
      </c>
      <c r="M11" s="158" t="s">
        <v>199</v>
      </c>
      <c r="N11" s="153"/>
    </row>
    <row r="12" spans="1:14" ht="15" x14ac:dyDescent="0.2">
      <c r="A12" s="155">
        <v>3</v>
      </c>
      <c r="B12" s="156" t="s">
        <v>200</v>
      </c>
      <c r="C12" s="159"/>
      <c r="D12" s="159"/>
      <c r="E12" s="159"/>
      <c r="F12" s="159"/>
      <c r="G12" s="159"/>
      <c r="H12" s="159"/>
      <c r="I12" s="159"/>
      <c r="J12" s="159"/>
      <c r="K12" s="159"/>
      <c r="L12" s="159"/>
      <c r="M12" s="158" t="s">
        <v>201</v>
      </c>
      <c r="N12" s="153"/>
    </row>
    <row r="13" spans="1:14" x14ac:dyDescent="0.2">
      <c r="A13" s="155" t="s">
        <v>202</v>
      </c>
      <c r="B13" s="156" t="s">
        <v>203</v>
      </c>
      <c r="C13" s="159"/>
      <c r="D13" s="159"/>
      <c r="E13" s="159"/>
      <c r="F13" s="159"/>
      <c r="G13" s="159"/>
      <c r="H13" s="159"/>
      <c r="I13" s="159"/>
      <c r="J13" s="159"/>
      <c r="K13" s="159"/>
      <c r="L13" s="159"/>
      <c r="M13" s="158" t="s">
        <v>204</v>
      </c>
    </row>
    <row r="14" spans="1:14" ht="22.5" x14ac:dyDescent="0.2">
      <c r="A14" s="155">
        <v>4</v>
      </c>
      <c r="B14" s="156" t="s">
        <v>205</v>
      </c>
      <c r="C14" s="159"/>
      <c r="D14" s="159"/>
      <c r="E14" s="159"/>
      <c r="F14" s="159"/>
      <c r="G14" s="159"/>
      <c r="H14" s="159"/>
      <c r="I14" s="159"/>
      <c r="J14" s="159"/>
      <c r="K14" s="159"/>
      <c r="L14" s="159"/>
      <c r="M14" s="158" t="s">
        <v>206</v>
      </c>
    </row>
    <row r="15" spans="1:14" x14ac:dyDescent="0.2">
      <c r="A15" s="155"/>
      <c r="B15" s="156" t="s">
        <v>207</v>
      </c>
      <c r="C15" s="159"/>
      <c r="D15" s="159"/>
      <c r="E15" s="159"/>
      <c r="F15" s="159"/>
      <c r="G15" s="159"/>
      <c r="H15" s="159"/>
      <c r="I15" s="159"/>
      <c r="J15" s="159"/>
      <c r="K15" s="159"/>
      <c r="L15" s="159"/>
      <c r="M15" s="158" t="s">
        <v>208</v>
      </c>
    </row>
    <row r="16" spans="1:14" x14ac:dyDescent="0.2">
      <c r="A16" s="155">
        <v>5</v>
      </c>
      <c r="B16" s="156" t="s">
        <v>209</v>
      </c>
      <c r="C16" s="159"/>
      <c r="D16" s="159"/>
      <c r="E16" s="159"/>
      <c r="F16" s="159"/>
      <c r="G16" s="159"/>
      <c r="H16" s="159"/>
      <c r="I16" s="159"/>
      <c r="J16" s="159"/>
      <c r="K16" s="159"/>
      <c r="L16" s="159"/>
      <c r="M16" s="158" t="s">
        <v>210</v>
      </c>
    </row>
    <row r="17" spans="1:13" x14ac:dyDescent="0.2">
      <c r="A17" s="155" t="s">
        <v>211</v>
      </c>
      <c r="B17" s="156" t="s">
        <v>212</v>
      </c>
      <c r="C17" s="159"/>
      <c r="D17" s="159"/>
      <c r="E17" s="159"/>
      <c r="F17" s="159"/>
      <c r="G17" s="159">
        <v>-78.479159639999992</v>
      </c>
      <c r="H17" s="159">
        <v>-161.80725911796497</v>
      </c>
      <c r="I17" s="159">
        <v>-108.28825573691002</v>
      </c>
      <c r="J17" s="159">
        <v>-52.251846920000006</v>
      </c>
      <c r="K17" s="159">
        <v>0</v>
      </c>
      <c r="L17" s="159">
        <v>-3.5278251982405266</v>
      </c>
      <c r="M17" s="158" t="s">
        <v>213</v>
      </c>
    </row>
    <row r="18" spans="1:13" x14ac:dyDescent="0.2">
      <c r="A18" s="160">
        <v>6</v>
      </c>
      <c r="B18" s="161" t="s">
        <v>214</v>
      </c>
      <c r="C18" s="162">
        <v>1804.998485342403</v>
      </c>
      <c r="D18" s="162">
        <v>1850.7891525700002</v>
      </c>
      <c r="E18" s="162">
        <v>1925.8082943500003</v>
      </c>
      <c r="F18" s="162">
        <v>1994.1794133400006</v>
      </c>
      <c r="G18" s="162">
        <v>1980.5377873699999</v>
      </c>
      <c r="H18" s="162">
        <v>1956.5188734820351</v>
      </c>
      <c r="I18" s="162">
        <v>1979.9076217330901</v>
      </c>
      <c r="J18" s="162">
        <v>1677.9781165200002</v>
      </c>
      <c r="K18" s="162">
        <v>1764.5136533</v>
      </c>
      <c r="L18" s="162">
        <f>(SUM(L7:L17))</f>
        <v>1793.2579369517596</v>
      </c>
      <c r="M18" s="163">
        <v>0</v>
      </c>
    </row>
    <row r="19" spans="1:13" x14ac:dyDescent="0.2">
      <c r="A19" s="164" t="s">
        <v>215</v>
      </c>
      <c r="B19" s="165"/>
      <c r="C19" s="166"/>
      <c r="D19" s="282"/>
      <c r="E19" s="282"/>
      <c r="F19" s="282"/>
      <c r="G19" s="282"/>
      <c r="H19" s="282"/>
      <c r="I19" s="282"/>
      <c r="J19" s="282"/>
      <c r="K19" s="282"/>
      <c r="L19" s="282"/>
      <c r="M19" s="167"/>
    </row>
    <row r="20" spans="1:13" x14ac:dyDescent="0.2">
      <c r="A20" s="168">
        <v>7</v>
      </c>
      <c r="B20" s="169" t="s">
        <v>216</v>
      </c>
      <c r="C20" s="170">
        <v>-1.32977906364</v>
      </c>
      <c r="D20" s="170">
        <v>-1.0055609623699999</v>
      </c>
      <c r="E20" s="170">
        <v>-1.49820277513</v>
      </c>
      <c r="F20" s="170">
        <v>-2.5852016350800002</v>
      </c>
      <c r="G20" s="170">
        <v>-1.84802476605</v>
      </c>
      <c r="H20" s="170">
        <v>-1.84802476605</v>
      </c>
      <c r="I20" s="170">
        <v>-2.0935198185199999</v>
      </c>
      <c r="J20" s="170">
        <v>-1.291258303</v>
      </c>
      <c r="K20" s="170">
        <v>-0.88299374776000028</v>
      </c>
      <c r="L20" s="170">
        <v>-0.86897594623000007</v>
      </c>
      <c r="M20" s="171" t="s">
        <v>217</v>
      </c>
    </row>
    <row r="21" spans="1:13" ht="22.5" x14ac:dyDescent="0.2">
      <c r="A21" s="155">
        <v>8</v>
      </c>
      <c r="B21" s="156" t="s">
        <v>218</v>
      </c>
      <c r="C21" s="159">
        <v>-144.07205134</v>
      </c>
      <c r="D21" s="159">
        <v>-145.51496675000001</v>
      </c>
      <c r="E21" s="159">
        <v>-151.88384152999996</v>
      </c>
      <c r="F21" s="159">
        <v>-151.94825282999997</v>
      </c>
      <c r="G21" s="159">
        <v>-154.20006535000002</v>
      </c>
      <c r="H21" s="159">
        <v>-151.36952010578</v>
      </c>
      <c r="I21" s="159">
        <v>-148.04013725999999</v>
      </c>
      <c r="J21" s="159">
        <v>-224.47763316000001</v>
      </c>
      <c r="K21" s="159">
        <v>-226.95269474</v>
      </c>
      <c r="L21" s="159">
        <v>-206.95626014000004</v>
      </c>
      <c r="M21" s="158" t="s">
        <v>219</v>
      </c>
    </row>
    <row r="22" spans="1:13" x14ac:dyDescent="0.2">
      <c r="A22" s="155">
        <v>9</v>
      </c>
      <c r="B22" s="156" t="s">
        <v>220</v>
      </c>
      <c r="C22" s="159"/>
      <c r="D22" s="159"/>
      <c r="E22" s="159"/>
      <c r="F22" s="159"/>
      <c r="G22" s="159"/>
      <c r="H22" s="159"/>
      <c r="I22" s="159"/>
      <c r="J22" s="159"/>
      <c r="K22" s="159"/>
      <c r="L22" s="159"/>
      <c r="M22" s="158">
        <v>0</v>
      </c>
    </row>
    <row r="23" spans="1:13" ht="33.75" x14ac:dyDescent="0.2">
      <c r="A23" s="155">
        <v>10</v>
      </c>
      <c r="B23" s="156" t="s">
        <v>221</v>
      </c>
      <c r="C23" s="172"/>
      <c r="D23" s="172"/>
      <c r="E23" s="172"/>
      <c r="F23" s="172"/>
      <c r="G23" s="172"/>
      <c r="H23" s="172"/>
      <c r="I23" s="172"/>
      <c r="J23" s="172"/>
      <c r="K23" s="172"/>
      <c r="L23" s="172"/>
      <c r="M23" s="158" t="s">
        <v>222</v>
      </c>
    </row>
    <row r="24" spans="1:13" x14ac:dyDescent="0.2">
      <c r="A24" s="155">
        <v>11</v>
      </c>
      <c r="B24" s="156" t="s">
        <v>223</v>
      </c>
      <c r="C24" s="170"/>
      <c r="D24" s="170"/>
      <c r="E24" s="170"/>
      <c r="F24" s="170"/>
      <c r="G24" s="170"/>
      <c r="H24" s="170"/>
      <c r="I24" s="170"/>
      <c r="J24" s="170"/>
      <c r="K24" s="170"/>
      <c r="L24" s="170"/>
      <c r="M24" s="158" t="s">
        <v>224</v>
      </c>
    </row>
    <row r="25" spans="1:13" ht="22.5" x14ac:dyDescent="0.2">
      <c r="A25" s="155">
        <v>12</v>
      </c>
      <c r="B25" s="156" t="s">
        <v>225</v>
      </c>
      <c r="C25" s="170"/>
      <c r="D25" s="170"/>
      <c r="E25" s="170"/>
      <c r="F25" s="170"/>
      <c r="G25" s="170"/>
      <c r="H25" s="170"/>
      <c r="I25" s="170"/>
      <c r="J25" s="170"/>
      <c r="K25" s="170"/>
      <c r="L25" s="170"/>
      <c r="M25" s="158" t="s">
        <v>226</v>
      </c>
    </row>
    <row r="26" spans="1:13" x14ac:dyDescent="0.2">
      <c r="A26" s="155">
        <v>13</v>
      </c>
      <c r="B26" s="156" t="s">
        <v>227</v>
      </c>
      <c r="C26" s="170"/>
      <c r="D26" s="170"/>
      <c r="E26" s="170"/>
      <c r="F26" s="170"/>
      <c r="G26" s="170"/>
      <c r="H26" s="170"/>
      <c r="I26" s="170"/>
      <c r="J26" s="170"/>
      <c r="K26" s="170"/>
      <c r="L26" s="170"/>
      <c r="M26" s="158" t="s">
        <v>228</v>
      </c>
    </row>
    <row r="27" spans="1:13" ht="22.5" x14ac:dyDescent="0.2">
      <c r="A27" s="155">
        <v>14</v>
      </c>
      <c r="B27" s="156" t="s">
        <v>229</v>
      </c>
      <c r="C27" s="170"/>
      <c r="D27" s="170"/>
      <c r="E27" s="170"/>
      <c r="F27" s="170"/>
      <c r="G27" s="170"/>
      <c r="H27" s="170"/>
      <c r="I27" s="170"/>
      <c r="J27" s="170"/>
      <c r="K27" s="170"/>
      <c r="L27" s="170"/>
      <c r="M27" s="158" t="s">
        <v>230</v>
      </c>
    </row>
    <row r="28" spans="1:13" ht="22.5" x14ac:dyDescent="0.2">
      <c r="A28" s="155">
        <v>15</v>
      </c>
      <c r="B28" s="156" t="s">
        <v>231</v>
      </c>
      <c r="C28" s="170"/>
      <c r="D28" s="170"/>
      <c r="E28" s="170"/>
      <c r="F28" s="170"/>
      <c r="G28" s="170"/>
      <c r="H28" s="170"/>
      <c r="I28" s="170"/>
      <c r="J28" s="170"/>
      <c r="K28" s="170"/>
      <c r="L28" s="170"/>
      <c r="M28" s="158" t="s">
        <v>232</v>
      </c>
    </row>
    <row r="29" spans="1:13" ht="22.5" x14ac:dyDescent="0.2">
      <c r="A29" s="155">
        <v>16</v>
      </c>
      <c r="B29" s="156" t="s">
        <v>233</v>
      </c>
      <c r="C29" s="173"/>
      <c r="D29" s="173"/>
      <c r="E29" s="173"/>
      <c r="F29" s="173"/>
      <c r="G29" s="173"/>
      <c r="H29" s="173"/>
      <c r="I29" s="173"/>
      <c r="J29" s="173"/>
      <c r="K29" s="173"/>
      <c r="L29" s="173"/>
      <c r="M29" s="158" t="s">
        <v>234</v>
      </c>
    </row>
    <row r="30" spans="1:13" ht="33.75" x14ac:dyDescent="0.2">
      <c r="A30" s="155">
        <v>17</v>
      </c>
      <c r="B30" s="156" t="s">
        <v>235</v>
      </c>
      <c r="C30" s="159"/>
      <c r="D30" s="159"/>
      <c r="E30" s="159"/>
      <c r="F30" s="159"/>
      <c r="G30" s="159"/>
      <c r="H30" s="159"/>
      <c r="I30" s="159"/>
      <c r="J30" s="159"/>
      <c r="K30" s="159"/>
      <c r="L30" s="159"/>
      <c r="M30" s="158" t="s">
        <v>236</v>
      </c>
    </row>
    <row r="31" spans="1:13" ht="45" x14ac:dyDescent="0.2">
      <c r="A31" s="155">
        <v>18</v>
      </c>
      <c r="B31" s="156" t="s">
        <v>237</v>
      </c>
      <c r="C31" s="159"/>
      <c r="D31" s="159"/>
      <c r="E31" s="159"/>
      <c r="F31" s="159"/>
      <c r="G31" s="159"/>
      <c r="H31" s="159"/>
      <c r="I31" s="159"/>
      <c r="J31" s="159"/>
      <c r="K31" s="159"/>
      <c r="L31" s="159"/>
      <c r="M31" s="158" t="s">
        <v>238</v>
      </c>
    </row>
    <row r="32" spans="1:13" ht="45" x14ac:dyDescent="0.2">
      <c r="A32" s="155">
        <v>19</v>
      </c>
      <c r="B32" s="156" t="s">
        <v>239</v>
      </c>
      <c r="C32" s="159"/>
      <c r="D32" s="159"/>
      <c r="E32" s="159"/>
      <c r="F32" s="159"/>
      <c r="G32" s="159"/>
      <c r="H32" s="159"/>
      <c r="I32" s="159"/>
      <c r="J32" s="159"/>
      <c r="K32" s="159"/>
      <c r="L32" s="159"/>
      <c r="M32" s="158" t="s">
        <v>240</v>
      </c>
    </row>
    <row r="33" spans="1:13" x14ac:dyDescent="0.2">
      <c r="A33" s="155">
        <v>20</v>
      </c>
      <c r="B33" s="156" t="s">
        <v>220</v>
      </c>
      <c r="C33" s="159"/>
      <c r="D33" s="159"/>
      <c r="E33" s="159"/>
      <c r="F33" s="159"/>
      <c r="G33" s="159"/>
      <c r="H33" s="159"/>
      <c r="I33" s="159"/>
      <c r="J33" s="159"/>
      <c r="K33" s="159"/>
      <c r="L33" s="159"/>
      <c r="M33" s="158">
        <v>0</v>
      </c>
    </row>
    <row r="34" spans="1:13" ht="22.5" x14ac:dyDescent="0.2">
      <c r="A34" s="155" t="s">
        <v>241</v>
      </c>
      <c r="B34" s="156" t="s">
        <v>242</v>
      </c>
      <c r="C34" s="159"/>
      <c r="D34" s="159"/>
      <c r="E34" s="159"/>
      <c r="F34" s="159"/>
      <c r="G34" s="159"/>
      <c r="H34" s="159"/>
      <c r="I34" s="159"/>
      <c r="J34" s="159"/>
      <c r="K34" s="159"/>
      <c r="L34" s="159"/>
      <c r="M34" s="158" t="s">
        <v>243</v>
      </c>
    </row>
    <row r="35" spans="1:13" ht="22.5" x14ac:dyDescent="0.2">
      <c r="A35" s="155" t="s">
        <v>244</v>
      </c>
      <c r="B35" s="156" t="s">
        <v>245</v>
      </c>
      <c r="C35" s="159"/>
      <c r="D35" s="159"/>
      <c r="E35" s="159"/>
      <c r="F35" s="159"/>
      <c r="G35" s="159"/>
      <c r="H35" s="159"/>
      <c r="I35" s="159"/>
      <c r="J35" s="159"/>
      <c r="K35" s="159"/>
      <c r="L35" s="159"/>
      <c r="M35" s="158" t="s">
        <v>246</v>
      </c>
    </row>
    <row r="36" spans="1:13" ht="45" x14ac:dyDescent="0.2">
      <c r="A36" s="155" t="s">
        <v>247</v>
      </c>
      <c r="B36" s="156" t="s">
        <v>248</v>
      </c>
      <c r="C36" s="159"/>
      <c r="D36" s="159"/>
      <c r="E36" s="159"/>
      <c r="F36" s="159"/>
      <c r="G36" s="159"/>
      <c r="H36" s="159"/>
      <c r="I36" s="159"/>
      <c r="J36" s="159"/>
      <c r="K36" s="159"/>
      <c r="L36" s="159"/>
      <c r="M36" s="158" t="s">
        <v>249</v>
      </c>
    </row>
    <row r="37" spans="1:13" ht="22.5" x14ac:dyDescent="0.2">
      <c r="A37" s="155" t="s">
        <v>250</v>
      </c>
      <c r="B37" s="156" t="s">
        <v>251</v>
      </c>
      <c r="C37" s="159"/>
      <c r="D37" s="159"/>
      <c r="E37" s="159"/>
      <c r="F37" s="159"/>
      <c r="G37" s="159"/>
      <c r="H37" s="159"/>
      <c r="I37" s="159"/>
      <c r="J37" s="159"/>
      <c r="K37" s="159"/>
      <c r="L37" s="159"/>
      <c r="M37" s="158" t="s">
        <v>252</v>
      </c>
    </row>
    <row r="38" spans="1:13" ht="33.75" x14ac:dyDescent="0.2">
      <c r="A38" s="155">
        <v>21</v>
      </c>
      <c r="B38" s="156" t="s">
        <v>253</v>
      </c>
      <c r="C38" s="159"/>
      <c r="D38" s="159"/>
      <c r="E38" s="159"/>
      <c r="F38" s="159"/>
      <c r="G38" s="159"/>
      <c r="H38" s="159"/>
      <c r="I38" s="159"/>
      <c r="J38" s="159"/>
      <c r="K38" s="159"/>
      <c r="L38" s="159"/>
      <c r="M38" s="158" t="s">
        <v>254</v>
      </c>
    </row>
    <row r="39" spans="1:13" x14ac:dyDescent="0.2">
      <c r="A39" s="155">
        <v>22</v>
      </c>
      <c r="B39" s="156" t="s">
        <v>255</v>
      </c>
      <c r="C39" s="159"/>
      <c r="D39" s="159"/>
      <c r="E39" s="159"/>
      <c r="F39" s="159"/>
      <c r="G39" s="159"/>
      <c r="H39" s="159"/>
      <c r="I39" s="159"/>
      <c r="J39" s="159"/>
      <c r="K39" s="159"/>
      <c r="L39" s="159"/>
      <c r="M39" s="158" t="s">
        <v>256</v>
      </c>
    </row>
    <row r="40" spans="1:13" ht="33.75" x14ac:dyDescent="0.2">
      <c r="A40" s="155">
        <v>23</v>
      </c>
      <c r="B40" s="156" t="s">
        <v>257</v>
      </c>
      <c r="C40" s="159"/>
      <c r="D40" s="159"/>
      <c r="E40" s="159"/>
      <c r="F40" s="159"/>
      <c r="G40" s="159"/>
      <c r="H40" s="159"/>
      <c r="I40" s="159"/>
      <c r="J40" s="159"/>
      <c r="K40" s="159"/>
      <c r="L40" s="159"/>
      <c r="M40" s="158" t="s">
        <v>258</v>
      </c>
    </row>
    <row r="41" spans="1:13" x14ac:dyDescent="0.2">
      <c r="A41" s="155">
        <v>24</v>
      </c>
      <c r="B41" s="156" t="s">
        <v>220</v>
      </c>
      <c r="C41" s="159"/>
      <c r="D41" s="159"/>
      <c r="E41" s="159"/>
      <c r="F41" s="159"/>
      <c r="G41" s="159"/>
      <c r="H41" s="159"/>
      <c r="I41" s="159"/>
      <c r="J41" s="159"/>
      <c r="K41" s="159"/>
      <c r="L41" s="159"/>
      <c r="M41" s="158">
        <v>0</v>
      </c>
    </row>
    <row r="42" spans="1:13" ht="22.5" x14ac:dyDescent="0.2">
      <c r="A42" s="155">
        <v>25</v>
      </c>
      <c r="B42" s="156" t="s">
        <v>259</v>
      </c>
      <c r="C42" s="159"/>
      <c r="D42" s="159"/>
      <c r="E42" s="159"/>
      <c r="F42" s="159"/>
      <c r="G42" s="159"/>
      <c r="H42" s="159"/>
      <c r="I42" s="159"/>
      <c r="J42" s="159"/>
      <c r="K42" s="159"/>
      <c r="L42" s="159"/>
      <c r="M42" s="158" t="s">
        <v>254</v>
      </c>
    </row>
    <row r="43" spans="1:13" x14ac:dyDescent="0.2">
      <c r="A43" s="155" t="s">
        <v>260</v>
      </c>
      <c r="B43" s="156" t="s">
        <v>261</v>
      </c>
      <c r="C43" s="159"/>
      <c r="D43" s="159"/>
      <c r="E43" s="159"/>
      <c r="F43" s="159"/>
      <c r="G43" s="159"/>
      <c r="H43" s="159"/>
      <c r="I43" s="159"/>
      <c r="J43" s="159"/>
      <c r="K43" s="159"/>
      <c r="L43" s="159"/>
      <c r="M43" s="158" t="s">
        <v>262</v>
      </c>
    </row>
    <row r="44" spans="1:13" x14ac:dyDescent="0.2">
      <c r="A44" s="155" t="s">
        <v>263</v>
      </c>
      <c r="B44" s="156" t="s">
        <v>264</v>
      </c>
      <c r="C44" s="159"/>
      <c r="D44" s="159"/>
      <c r="E44" s="159"/>
      <c r="F44" s="159"/>
      <c r="G44" s="159"/>
      <c r="H44" s="159"/>
      <c r="I44" s="159"/>
      <c r="J44" s="159"/>
      <c r="K44" s="159"/>
      <c r="L44" s="159"/>
      <c r="M44" s="158" t="s">
        <v>265</v>
      </c>
    </row>
    <row r="45" spans="1:13" ht="22.5" x14ac:dyDescent="0.2">
      <c r="A45" s="155">
        <v>26</v>
      </c>
      <c r="B45" s="156" t="s">
        <v>266</v>
      </c>
      <c r="C45" s="159"/>
      <c r="D45" s="159"/>
      <c r="E45" s="159"/>
      <c r="F45" s="159"/>
      <c r="G45" s="159"/>
      <c r="H45" s="159"/>
      <c r="I45" s="159"/>
      <c r="J45" s="159"/>
      <c r="K45" s="159"/>
      <c r="L45" s="159"/>
      <c r="M45" s="158">
        <v>0</v>
      </c>
    </row>
    <row r="46" spans="1:13" ht="22.5" x14ac:dyDescent="0.2">
      <c r="A46" s="155" t="s">
        <v>267</v>
      </c>
      <c r="B46" s="156" t="s">
        <v>268</v>
      </c>
      <c r="C46" s="159"/>
      <c r="D46" s="159"/>
      <c r="E46" s="159"/>
      <c r="F46" s="159"/>
      <c r="G46" s="159"/>
      <c r="H46" s="159"/>
      <c r="I46" s="159"/>
      <c r="J46" s="159"/>
      <c r="K46" s="159"/>
      <c r="L46" s="159"/>
      <c r="M46" s="158">
        <v>0</v>
      </c>
    </row>
    <row r="47" spans="1:13" x14ac:dyDescent="0.2">
      <c r="A47" s="155"/>
      <c r="B47" s="156" t="s">
        <v>269</v>
      </c>
      <c r="C47" s="159"/>
      <c r="D47" s="159"/>
      <c r="E47" s="159"/>
      <c r="F47" s="159"/>
      <c r="G47" s="159"/>
      <c r="H47" s="159"/>
      <c r="I47" s="159"/>
      <c r="J47" s="159"/>
      <c r="K47" s="159"/>
      <c r="L47" s="159"/>
      <c r="M47" s="158">
        <v>0</v>
      </c>
    </row>
    <row r="48" spans="1:13" x14ac:dyDescent="0.2">
      <c r="A48" s="155"/>
      <c r="B48" s="156" t="s">
        <v>270</v>
      </c>
      <c r="C48" s="159"/>
      <c r="D48" s="159"/>
      <c r="E48" s="159"/>
      <c r="F48" s="159"/>
      <c r="G48" s="159"/>
      <c r="H48" s="159"/>
      <c r="I48" s="159"/>
      <c r="J48" s="159"/>
      <c r="K48" s="159"/>
      <c r="L48" s="159"/>
      <c r="M48" s="158">
        <v>0</v>
      </c>
    </row>
    <row r="49" spans="1:13" x14ac:dyDescent="0.2">
      <c r="A49" s="155"/>
      <c r="B49" s="156" t="s">
        <v>271</v>
      </c>
      <c r="C49" s="159"/>
      <c r="D49" s="159"/>
      <c r="E49" s="159"/>
      <c r="F49" s="159"/>
      <c r="G49" s="159"/>
      <c r="H49" s="159"/>
      <c r="I49" s="159"/>
      <c r="J49" s="159"/>
      <c r="K49" s="159"/>
      <c r="L49" s="159"/>
      <c r="M49" s="158">
        <v>0</v>
      </c>
    </row>
    <row r="50" spans="1:13" x14ac:dyDescent="0.2">
      <c r="A50" s="155"/>
      <c r="B50" s="156" t="s">
        <v>272</v>
      </c>
      <c r="C50" s="159"/>
      <c r="D50" s="159"/>
      <c r="E50" s="159"/>
      <c r="F50" s="159"/>
      <c r="G50" s="159"/>
      <c r="H50" s="159"/>
      <c r="I50" s="159"/>
      <c r="J50" s="159"/>
      <c r="K50" s="159"/>
      <c r="L50" s="159"/>
      <c r="M50" s="158">
        <v>0</v>
      </c>
    </row>
    <row r="51" spans="1:13" ht="22.5" x14ac:dyDescent="0.2">
      <c r="A51" s="155" t="s">
        <v>273</v>
      </c>
      <c r="B51" s="156" t="s">
        <v>274</v>
      </c>
      <c r="C51" s="159">
        <v>194.29714705243907</v>
      </c>
      <c r="D51" s="159">
        <v>189.22599694264929</v>
      </c>
      <c r="E51" s="159">
        <v>174.6298422199726</v>
      </c>
      <c r="F51" s="159">
        <v>176.25840188795783</v>
      </c>
      <c r="G51" s="159">
        <v>159.4077594102026</v>
      </c>
      <c r="H51" s="159">
        <v>94.388123948871524</v>
      </c>
      <c r="I51" s="159">
        <v>99.632982355410917</v>
      </c>
      <c r="J51" s="159">
        <v>112.06613132752244</v>
      </c>
      <c r="K51" s="159">
        <v>104.45365488577715</v>
      </c>
      <c r="L51" s="159">
        <v>54.092066021821495</v>
      </c>
      <c r="M51" s="158">
        <v>481</v>
      </c>
    </row>
    <row r="52" spans="1:13" ht="22.5" x14ac:dyDescent="0.2">
      <c r="A52" s="155">
        <v>27</v>
      </c>
      <c r="B52" s="156" t="s">
        <v>275</v>
      </c>
      <c r="C52" s="159"/>
      <c r="D52" s="159"/>
      <c r="E52" s="159"/>
      <c r="F52" s="159"/>
      <c r="G52" s="159"/>
      <c r="H52" s="159"/>
      <c r="I52" s="159"/>
      <c r="J52" s="159"/>
      <c r="K52" s="159"/>
      <c r="L52" s="159"/>
      <c r="M52" s="158" t="s">
        <v>276</v>
      </c>
    </row>
    <row r="53" spans="1:13" x14ac:dyDescent="0.2">
      <c r="A53" s="155">
        <v>28</v>
      </c>
      <c r="B53" s="174" t="s">
        <v>277</v>
      </c>
      <c r="C53" s="159">
        <v>48.895316648799081</v>
      </c>
      <c r="D53" s="159">
        <v>42.705469230279277</v>
      </c>
      <c r="E53" s="159">
        <v>21.247797914842636</v>
      </c>
      <c r="F53" s="159">
        <v>21.724947422877847</v>
      </c>
      <c r="G53" s="159">
        <v>3.3596692941525816</v>
      </c>
      <c r="H53" s="159">
        <v>-58.829420922958477</v>
      </c>
      <c r="I53" s="159">
        <v>-50.500674723109086</v>
      </c>
      <c r="J53" s="159">
        <v>-113.70276013547758</v>
      </c>
      <c r="K53" s="159">
        <v>-123.38203360198284</v>
      </c>
      <c r="L53" s="159">
        <f>SUM(L20:L52)</f>
        <v>-153.73317006440854</v>
      </c>
      <c r="M53" s="158">
        <v>0</v>
      </c>
    </row>
    <row r="54" spans="1:13" x14ac:dyDescent="0.2">
      <c r="A54" s="155">
        <v>29</v>
      </c>
      <c r="B54" s="174" t="s">
        <v>278</v>
      </c>
      <c r="C54" s="159">
        <v>1853.8938019912021</v>
      </c>
      <c r="D54" s="159">
        <v>1893.4946218002794</v>
      </c>
      <c r="E54" s="159">
        <v>1947.0560922648428</v>
      </c>
      <c r="F54" s="159">
        <v>2015.9043607628785</v>
      </c>
      <c r="G54" s="159">
        <v>1983.8974566641525</v>
      </c>
      <c r="H54" s="159">
        <v>1897.6894525590767</v>
      </c>
      <c r="I54" s="159">
        <v>1929.406947009981</v>
      </c>
      <c r="J54" s="159">
        <v>1564.2753563845226</v>
      </c>
      <c r="K54" s="159">
        <v>1641.1316196980172</v>
      </c>
      <c r="L54" s="159">
        <f>L18+L53</f>
        <v>1639.524766887351</v>
      </c>
      <c r="M54" s="158">
        <v>0</v>
      </c>
    </row>
    <row r="55" spans="1:13" x14ac:dyDescent="0.2">
      <c r="A55" s="175" t="s">
        <v>279</v>
      </c>
      <c r="B55" s="176"/>
      <c r="C55" s="177"/>
      <c r="D55" s="177"/>
      <c r="E55" s="177"/>
      <c r="F55" s="177"/>
      <c r="G55" s="177"/>
      <c r="H55" s="177"/>
      <c r="I55" s="177"/>
      <c r="J55" s="177"/>
      <c r="K55" s="177"/>
      <c r="L55" s="177"/>
      <c r="M55" s="178"/>
    </row>
    <row r="56" spans="1:13" x14ac:dyDescent="0.2">
      <c r="A56" s="155">
        <v>30</v>
      </c>
      <c r="B56" s="156" t="s">
        <v>192</v>
      </c>
      <c r="C56" s="159">
        <v>44.55</v>
      </c>
      <c r="D56" s="159">
        <v>44.55</v>
      </c>
      <c r="E56" s="159">
        <v>244.55</v>
      </c>
      <c r="F56" s="159">
        <v>244.55</v>
      </c>
      <c r="G56" s="159">
        <v>244.55</v>
      </c>
      <c r="H56" s="159">
        <v>199.55</v>
      </c>
      <c r="I56" s="159">
        <v>199.55</v>
      </c>
      <c r="J56" s="159">
        <v>199.55</v>
      </c>
      <c r="K56" s="159">
        <v>199.55</v>
      </c>
      <c r="L56" s="159">
        <v>199.55</v>
      </c>
      <c r="M56" s="158" t="s">
        <v>280</v>
      </c>
    </row>
    <row r="57" spans="1:13" x14ac:dyDescent="0.2">
      <c r="A57" s="155">
        <v>31</v>
      </c>
      <c r="B57" s="156" t="s">
        <v>281</v>
      </c>
      <c r="C57" s="159">
        <v>44.55</v>
      </c>
      <c r="D57" s="159">
        <v>44.55</v>
      </c>
      <c r="E57" s="159">
        <v>244.55</v>
      </c>
      <c r="F57" s="159">
        <v>244.55</v>
      </c>
      <c r="G57" s="159">
        <v>244.55</v>
      </c>
      <c r="H57" s="159">
        <v>199.55</v>
      </c>
      <c r="I57" s="159">
        <v>199.55</v>
      </c>
      <c r="J57" s="159">
        <v>199.55</v>
      </c>
      <c r="K57" s="159">
        <v>199.55</v>
      </c>
      <c r="L57" s="159">
        <v>199.55</v>
      </c>
      <c r="M57" s="158">
        <v>0</v>
      </c>
    </row>
    <row r="58" spans="1:13" x14ac:dyDescent="0.2">
      <c r="A58" s="155">
        <v>32</v>
      </c>
      <c r="B58" s="156" t="s">
        <v>282</v>
      </c>
      <c r="C58" s="159">
        <v>0</v>
      </c>
      <c r="D58" s="159">
        <v>0</v>
      </c>
      <c r="E58" s="159">
        <v>0</v>
      </c>
      <c r="F58" s="159">
        <v>0</v>
      </c>
      <c r="G58" s="159">
        <v>0</v>
      </c>
      <c r="H58" s="159">
        <v>0</v>
      </c>
      <c r="I58" s="159">
        <v>0</v>
      </c>
      <c r="J58" s="159">
        <v>0</v>
      </c>
      <c r="K58" s="159">
        <v>0</v>
      </c>
      <c r="L58" s="159">
        <v>0</v>
      </c>
      <c r="M58" s="158">
        <v>0</v>
      </c>
    </row>
    <row r="59" spans="1:13" ht="22.5" x14ac:dyDescent="0.2">
      <c r="A59" s="155">
        <v>33</v>
      </c>
      <c r="B59" s="156" t="s">
        <v>283</v>
      </c>
      <c r="C59" s="159"/>
      <c r="D59" s="159"/>
      <c r="E59" s="159"/>
      <c r="F59" s="159"/>
      <c r="G59" s="159"/>
      <c r="H59" s="159"/>
      <c r="I59" s="159"/>
      <c r="J59" s="159"/>
      <c r="K59" s="159"/>
      <c r="L59" s="159"/>
      <c r="M59" s="158" t="s">
        <v>284</v>
      </c>
    </row>
    <row r="60" spans="1:13" x14ac:dyDescent="0.2">
      <c r="A60" s="155"/>
      <c r="B60" s="156" t="s">
        <v>207</v>
      </c>
      <c r="C60" s="159"/>
      <c r="D60" s="159"/>
      <c r="E60" s="159"/>
      <c r="F60" s="159"/>
      <c r="G60" s="159"/>
      <c r="H60" s="159"/>
      <c r="I60" s="159"/>
      <c r="J60" s="159"/>
      <c r="K60" s="159"/>
      <c r="L60" s="159"/>
      <c r="M60" s="158" t="s">
        <v>285</v>
      </c>
    </row>
    <row r="61" spans="1:13" ht="22.5" x14ac:dyDescent="0.2">
      <c r="A61" s="155">
        <v>34</v>
      </c>
      <c r="B61" s="156" t="s">
        <v>286</v>
      </c>
      <c r="C61" s="159"/>
      <c r="D61" s="159"/>
      <c r="E61" s="159"/>
      <c r="F61" s="159"/>
      <c r="G61" s="159"/>
      <c r="H61" s="159"/>
      <c r="I61" s="159"/>
      <c r="J61" s="159"/>
      <c r="K61" s="159"/>
      <c r="L61" s="159"/>
      <c r="M61" s="158" t="s">
        <v>287</v>
      </c>
    </row>
    <row r="62" spans="1:13" x14ac:dyDescent="0.2">
      <c r="A62" s="155">
        <v>35</v>
      </c>
      <c r="B62" s="156" t="s">
        <v>288</v>
      </c>
      <c r="C62" s="159"/>
      <c r="D62" s="159"/>
      <c r="E62" s="159"/>
      <c r="F62" s="159"/>
      <c r="G62" s="159"/>
      <c r="H62" s="159"/>
      <c r="I62" s="159"/>
      <c r="J62" s="159"/>
      <c r="K62" s="159"/>
      <c r="L62" s="159"/>
      <c r="M62" s="158" t="s">
        <v>284</v>
      </c>
    </row>
    <row r="63" spans="1:13" x14ac:dyDescent="0.2">
      <c r="A63" s="155">
        <v>36</v>
      </c>
      <c r="B63" s="174" t="s">
        <v>289</v>
      </c>
      <c r="C63" s="159">
        <v>44.55</v>
      </c>
      <c r="D63" s="159">
        <v>44.55</v>
      </c>
      <c r="E63" s="159">
        <v>244.55</v>
      </c>
      <c r="F63" s="159">
        <v>244.55</v>
      </c>
      <c r="G63" s="159">
        <v>244.55</v>
      </c>
      <c r="H63" s="159">
        <v>199.55</v>
      </c>
      <c r="I63" s="159">
        <v>199.55</v>
      </c>
      <c r="J63" s="159">
        <v>199.55</v>
      </c>
      <c r="K63" s="159">
        <v>199.55</v>
      </c>
      <c r="L63" s="159">
        <v>199.55</v>
      </c>
      <c r="M63" s="158">
        <v>0</v>
      </c>
    </row>
    <row r="64" spans="1:13" x14ac:dyDescent="0.2">
      <c r="A64" s="175" t="s">
        <v>290</v>
      </c>
      <c r="B64" s="176"/>
      <c r="C64" s="177"/>
      <c r="D64" s="177"/>
      <c r="E64" s="177"/>
      <c r="F64" s="177"/>
      <c r="G64" s="177"/>
      <c r="H64" s="177"/>
      <c r="I64" s="177"/>
      <c r="J64" s="177"/>
      <c r="K64" s="177"/>
      <c r="L64" s="177"/>
      <c r="M64" s="178"/>
    </row>
    <row r="65" spans="1:13" ht="22.5" x14ac:dyDescent="0.2">
      <c r="A65" s="155">
        <v>37</v>
      </c>
      <c r="B65" s="156" t="s">
        <v>291</v>
      </c>
      <c r="C65" s="159"/>
      <c r="D65" s="159"/>
      <c r="E65" s="159"/>
      <c r="F65" s="159"/>
      <c r="G65" s="159"/>
      <c r="H65" s="159"/>
      <c r="I65" s="159"/>
      <c r="J65" s="159"/>
      <c r="K65" s="159"/>
      <c r="L65" s="159"/>
      <c r="M65" s="158" t="s">
        <v>292</v>
      </c>
    </row>
    <row r="66" spans="1:13" ht="33.75" x14ac:dyDescent="0.2">
      <c r="A66" s="155">
        <v>38</v>
      </c>
      <c r="B66" s="156" t="s">
        <v>293</v>
      </c>
      <c r="C66" s="159"/>
      <c r="D66" s="159"/>
      <c r="E66" s="159"/>
      <c r="F66" s="159"/>
      <c r="G66" s="159"/>
      <c r="H66" s="159"/>
      <c r="I66" s="159"/>
      <c r="J66" s="159"/>
      <c r="K66" s="159"/>
      <c r="L66" s="159"/>
      <c r="M66" s="158" t="s">
        <v>294</v>
      </c>
    </row>
    <row r="67" spans="1:13" ht="45" x14ac:dyDescent="0.2">
      <c r="A67" s="155">
        <v>39</v>
      </c>
      <c r="B67" s="156" t="s">
        <v>295</v>
      </c>
      <c r="C67" s="159"/>
      <c r="D67" s="159"/>
      <c r="E67" s="159"/>
      <c r="F67" s="159"/>
      <c r="G67" s="159"/>
      <c r="H67" s="159"/>
      <c r="I67" s="159"/>
      <c r="J67" s="159"/>
      <c r="K67" s="159"/>
      <c r="L67" s="159"/>
      <c r="M67" s="158" t="s">
        <v>296</v>
      </c>
    </row>
    <row r="68" spans="1:13" ht="45" x14ac:dyDescent="0.2">
      <c r="A68" s="155">
        <v>40</v>
      </c>
      <c r="B68" s="156" t="s">
        <v>297</v>
      </c>
      <c r="C68" s="159"/>
      <c r="D68" s="159"/>
      <c r="E68" s="159"/>
      <c r="F68" s="159"/>
      <c r="G68" s="159"/>
      <c r="H68" s="159"/>
      <c r="I68" s="159"/>
      <c r="J68" s="159"/>
      <c r="K68" s="159"/>
      <c r="L68" s="159"/>
      <c r="M68" s="158" t="s">
        <v>298</v>
      </c>
    </row>
    <row r="69" spans="1:13" ht="33.75" x14ac:dyDescent="0.2">
      <c r="A69" s="155">
        <v>41</v>
      </c>
      <c r="B69" s="156" t="s">
        <v>299</v>
      </c>
      <c r="C69" s="159"/>
      <c r="D69" s="159"/>
      <c r="E69" s="159"/>
      <c r="F69" s="159"/>
      <c r="G69" s="159"/>
      <c r="H69" s="159"/>
      <c r="I69" s="159"/>
      <c r="J69" s="159"/>
      <c r="K69" s="159"/>
      <c r="L69" s="159"/>
      <c r="M69" s="158">
        <v>0</v>
      </c>
    </row>
    <row r="70" spans="1:13" ht="56.25" x14ac:dyDescent="0.2">
      <c r="A70" s="155" t="s">
        <v>300</v>
      </c>
      <c r="B70" s="156" t="s">
        <v>301</v>
      </c>
      <c r="C70" s="159"/>
      <c r="D70" s="159"/>
      <c r="E70" s="159"/>
      <c r="F70" s="159"/>
      <c r="G70" s="159"/>
      <c r="H70" s="159"/>
      <c r="I70" s="159"/>
      <c r="J70" s="159"/>
      <c r="K70" s="159"/>
      <c r="L70" s="159"/>
      <c r="M70" s="158" t="s">
        <v>302</v>
      </c>
    </row>
    <row r="71" spans="1:13" ht="33.75" x14ac:dyDescent="0.2">
      <c r="A71" s="155" t="s">
        <v>303</v>
      </c>
      <c r="B71" s="156" t="s">
        <v>304</v>
      </c>
      <c r="C71" s="159"/>
      <c r="D71" s="159"/>
      <c r="E71" s="159"/>
      <c r="F71" s="159"/>
      <c r="G71" s="159"/>
      <c r="H71" s="159"/>
      <c r="I71" s="159"/>
      <c r="J71" s="159"/>
      <c r="K71" s="159"/>
      <c r="L71" s="159"/>
      <c r="M71" s="158" t="s">
        <v>305</v>
      </c>
    </row>
    <row r="72" spans="1:13" ht="22.5" x14ac:dyDescent="0.2">
      <c r="A72" s="155" t="s">
        <v>306</v>
      </c>
      <c r="B72" s="156" t="s">
        <v>307</v>
      </c>
      <c r="C72" s="159"/>
      <c r="D72" s="159"/>
      <c r="E72" s="159"/>
      <c r="F72" s="159"/>
      <c r="G72" s="159"/>
      <c r="H72" s="159"/>
      <c r="I72" s="159"/>
      <c r="J72" s="159"/>
      <c r="K72" s="159"/>
      <c r="L72" s="159"/>
      <c r="M72" s="158" t="s">
        <v>308</v>
      </c>
    </row>
    <row r="73" spans="1:13" x14ac:dyDescent="0.2">
      <c r="A73" s="155"/>
      <c r="B73" s="156" t="s">
        <v>309</v>
      </c>
      <c r="C73" s="159"/>
      <c r="D73" s="159"/>
      <c r="E73" s="159"/>
      <c r="F73" s="159"/>
      <c r="G73" s="159"/>
      <c r="H73" s="159"/>
      <c r="I73" s="159"/>
      <c r="J73" s="159"/>
      <c r="K73" s="159"/>
      <c r="L73" s="159"/>
      <c r="M73" s="158">
        <v>0</v>
      </c>
    </row>
    <row r="74" spans="1:13" x14ac:dyDescent="0.2">
      <c r="A74" s="155"/>
      <c r="B74" s="156" t="s">
        <v>310</v>
      </c>
      <c r="C74" s="159"/>
      <c r="D74" s="159"/>
      <c r="E74" s="159"/>
      <c r="F74" s="159"/>
      <c r="G74" s="159"/>
      <c r="H74" s="159"/>
      <c r="I74" s="159"/>
      <c r="J74" s="159"/>
      <c r="K74" s="159"/>
      <c r="L74" s="159"/>
      <c r="M74" s="158">
        <v>0</v>
      </c>
    </row>
    <row r="75" spans="1:13" ht="22.5" x14ac:dyDescent="0.2">
      <c r="A75" s="155">
        <v>42</v>
      </c>
      <c r="B75" s="156" t="s">
        <v>311</v>
      </c>
      <c r="C75" s="159"/>
      <c r="D75" s="159"/>
      <c r="E75" s="159"/>
      <c r="F75" s="159"/>
      <c r="G75" s="159"/>
      <c r="H75" s="159"/>
      <c r="I75" s="159"/>
      <c r="J75" s="159"/>
      <c r="K75" s="159"/>
      <c r="L75" s="159"/>
      <c r="M75" s="179" t="s">
        <v>312</v>
      </c>
    </row>
    <row r="76" spans="1:13" x14ac:dyDescent="0.2">
      <c r="A76" s="155">
        <v>43</v>
      </c>
      <c r="B76" s="174" t="s">
        <v>313</v>
      </c>
      <c r="C76" s="159"/>
      <c r="D76" s="159"/>
      <c r="E76" s="159"/>
      <c r="F76" s="159"/>
      <c r="G76" s="159"/>
      <c r="H76" s="159"/>
      <c r="I76" s="159"/>
      <c r="J76" s="159"/>
      <c r="K76" s="159"/>
      <c r="L76" s="159"/>
      <c r="M76" s="158">
        <v>0</v>
      </c>
    </row>
    <row r="77" spans="1:13" x14ac:dyDescent="0.2">
      <c r="A77" s="155">
        <v>44</v>
      </c>
      <c r="B77" s="174" t="s">
        <v>314</v>
      </c>
      <c r="C77" s="159">
        <v>44.55</v>
      </c>
      <c r="D77" s="159">
        <v>44.55</v>
      </c>
      <c r="E77" s="159">
        <v>244.55</v>
      </c>
      <c r="F77" s="159">
        <v>244.55</v>
      </c>
      <c r="G77" s="159">
        <v>244.55</v>
      </c>
      <c r="H77" s="159">
        <v>199.55</v>
      </c>
      <c r="I77" s="159">
        <v>199.55</v>
      </c>
      <c r="J77" s="159">
        <v>199.55</v>
      </c>
      <c r="K77" s="159">
        <v>199.55</v>
      </c>
      <c r="L77" s="159">
        <v>199.55</v>
      </c>
      <c r="M77" s="158">
        <v>0</v>
      </c>
    </row>
    <row r="78" spans="1:13" x14ac:dyDescent="0.2">
      <c r="A78" s="155">
        <v>45</v>
      </c>
      <c r="B78" s="174" t="s">
        <v>315</v>
      </c>
      <c r="C78" s="159">
        <v>1898.443801991202</v>
      </c>
      <c r="D78" s="159">
        <v>1938.0446218002794</v>
      </c>
      <c r="E78" s="159">
        <v>2191.606092264843</v>
      </c>
      <c r="F78" s="159">
        <v>2260.4543607628784</v>
      </c>
      <c r="G78" s="159">
        <v>2228.4474566641525</v>
      </c>
      <c r="H78" s="159">
        <v>2097.2394525590767</v>
      </c>
      <c r="I78" s="159">
        <v>2128.9569470099809</v>
      </c>
      <c r="J78" s="159">
        <v>1763.8253563845226</v>
      </c>
      <c r="K78" s="159">
        <v>1840.6816196980171</v>
      </c>
      <c r="L78" s="159">
        <f>L54+L77</f>
        <v>1839.074766887351</v>
      </c>
      <c r="M78" s="158">
        <v>0</v>
      </c>
    </row>
    <row r="79" spans="1:13" x14ac:dyDescent="0.2">
      <c r="A79" s="180" t="s">
        <v>316</v>
      </c>
      <c r="B79" s="176"/>
      <c r="C79" s="177"/>
      <c r="D79" s="177"/>
      <c r="E79" s="177"/>
      <c r="F79" s="177"/>
      <c r="G79" s="177"/>
      <c r="H79" s="177"/>
      <c r="I79" s="177"/>
      <c r="J79" s="177"/>
      <c r="K79" s="177"/>
      <c r="L79" s="177"/>
      <c r="M79" s="178"/>
    </row>
    <row r="80" spans="1:13" x14ac:dyDescent="0.2">
      <c r="A80" s="155">
        <v>46</v>
      </c>
      <c r="B80" s="156" t="s">
        <v>192</v>
      </c>
      <c r="C80" s="159">
        <v>64.859166509999994</v>
      </c>
      <c r="D80" s="159">
        <v>64.891666499999999</v>
      </c>
      <c r="E80" s="159">
        <v>64.924166490000005</v>
      </c>
      <c r="F80" s="159">
        <v>64.956666479999996</v>
      </c>
      <c r="G80" s="159">
        <v>64.989166470000001</v>
      </c>
      <c r="H80" s="159">
        <v>106.8</v>
      </c>
      <c r="I80" s="159">
        <v>65</v>
      </c>
      <c r="J80" s="159">
        <v>65</v>
      </c>
      <c r="K80" s="159">
        <v>65</v>
      </c>
      <c r="L80" s="159">
        <v>65</v>
      </c>
      <c r="M80" s="158" t="s">
        <v>317</v>
      </c>
    </row>
    <row r="81" spans="1:13" ht="22.5" x14ac:dyDescent="0.2">
      <c r="A81" s="155">
        <v>47</v>
      </c>
      <c r="B81" s="156" t="s">
        <v>318</v>
      </c>
      <c r="C81" s="159"/>
      <c r="D81" s="159"/>
      <c r="E81" s="159"/>
      <c r="F81" s="159"/>
      <c r="G81" s="159"/>
      <c r="H81" s="159"/>
      <c r="I81" s="159"/>
      <c r="J81" s="159"/>
      <c r="K81" s="159"/>
      <c r="L81" s="159"/>
      <c r="M81" s="158" t="s">
        <v>319</v>
      </c>
    </row>
    <row r="82" spans="1:13" x14ac:dyDescent="0.2">
      <c r="A82" s="155"/>
      <c r="B82" s="156" t="s">
        <v>207</v>
      </c>
      <c r="C82" s="159"/>
      <c r="D82" s="159"/>
      <c r="E82" s="159"/>
      <c r="F82" s="159"/>
      <c r="G82" s="159"/>
      <c r="H82" s="159"/>
      <c r="I82" s="159"/>
      <c r="J82" s="159"/>
      <c r="K82" s="159"/>
      <c r="L82" s="159"/>
      <c r="M82" s="158" t="s">
        <v>320</v>
      </c>
    </row>
    <row r="83" spans="1:13" ht="33.75" x14ac:dyDescent="0.2">
      <c r="A83" s="155">
        <v>48</v>
      </c>
      <c r="B83" s="156" t="s">
        <v>321</v>
      </c>
      <c r="C83" s="159"/>
      <c r="D83" s="159"/>
      <c r="E83" s="159"/>
      <c r="F83" s="159"/>
      <c r="G83" s="159"/>
      <c r="H83" s="159"/>
      <c r="I83" s="159"/>
      <c r="J83" s="159"/>
      <c r="K83" s="159"/>
      <c r="L83" s="159"/>
      <c r="M83" s="158" t="s">
        <v>322</v>
      </c>
    </row>
    <row r="84" spans="1:13" x14ac:dyDescent="0.2">
      <c r="A84" s="155">
        <v>49</v>
      </c>
      <c r="B84" s="156" t="s">
        <v>288</v>
      </c>
      <c r="C84" s="159"/>
      <c r="D84" s="159"/>
      <c r="E84" s="159"/>
      <c r="F84" s="159"/>
      <c r="G84" s="159"/>
      <c r="H84" s="159"/>
      <c r="I84" s="159"/>
      <c r="J84" s="159"/>
      <c r="K84" s="159"/>
      <c r="L84" s="159"/>
      <c r="M84" s="158" t="s">
        <v>319</v>
      </c>
    </row>
    <row r="85" spans="1:13" x14ac:dyDescent="0.2">
      <c r="A85" s="155">
        <v>50</v>
      </c>
      <c r="B85" s="156" t="s">
        <v>323</v>
      </c>
      <c r="C85" s="159"/>
      <c r="D85" s="159"/>
      <c r="E85" s="159"/>
      <c r="F85" s="159"/>
      <c r="G85" s="159"/>
      <c r="H85" s="159"/>
      <c r="I85" s="159"/>
      <c r="J85" s="159"/>
      <c r="K85" s="159"/>
      <c r="L85" s="159"/>
      <c r="M85" s="158" t="s">
        <v>324</v>
      </c>
    </row>
    <row r="86" spans="1:13" x14ac:dyDescent="0.2">
      <c r="A86" s="155">
        <v>51</v>
      </c>
      <c r="B86" s="174" t="s">
        <v>325</v>
      </c>
      <c r="C86" s="159">
        <v>64.859166509999994</v>
      </c>
      <c r="D86" s="159">
        <v>64.891666499999999</v>
      </c>
      <c r="E86" s="159">
        <v>64.924166490000005</v>
      </c>
      <c r="F86" s="159">
        <v>64.956666479999996</v>
      </c>
      <c r="G86" s="159">
        <v>64.989166470000001</v>
      </c>
      <c r="H86" s="159">
        <v>106.8</v>
      </c>
      <c r="I86" s="159">
        <v>65</v>
      </c>
      <c r="J86" s="159">
        <v>65</v>
      </c>
      <c r="K86" s="159">
        <v>65</v>
      </c>
      <c r="L86" s="159">
        <v>65</v>
      </c>
      <c r="M86" s="158">
        <v>0</v>
      </c>
    </row>
    <row r="87" spans="1:13" x14ac:dyDescent="0.2">
      <c r="A87" s="175" t="s">
        <v>326</v>
      </c>
      <c r="B87" s="176"/>
      <c r="C87" s="177"/>
      <c r="D87" s="177"/>
      <c r="E87" s="177"/>
      <c r="F87" s="177"/>
      <c r="G87" s="177"/>
      <c r="H87" s="177"/>
      <c r="I87" s="177"/>
      <c r="J87" s="177"/>
      <c r="K87" s="177"/>
      <c r="L87" s="177"/>
      <c r="M87" s="178"/>
    </row>
    <row r="88" spans="1:13" ht="22.5" x14ac:dyDescent="0.2">
      <c r="A88" s="155">
        <v>52</v>
      </c>
      <c r="B88" s="156" t="s">
        <v>327</v>
      </c>
      <c r="C88" s="159"/>
      <c r="D88" s="159"/>
      <c r="E88" s="159"/>
      <c r="F88" s="159"/>
      <c r="G88" s="159"/>
      <c r="H88" s="159"/>
      <c r="I88" s="159"/>
      <c r="J88" s="159"/>
      <c r="K88" s="159"/>
      <c r="L88" s="159"/>
      <c r="M88" s="158" t="s">
        <v>328</v>
      </c>
    </row>
    <row r="89" spans="1:13" ht="33.75" x14ac:dyDescent="0.2">
      <c r="A89" s="155">
        <v>53</v>
      </c>
      <c r="B89" s="156" t="s">
        <v>329</v>
      </c>
      <c r="C89" s="159"/>
      <c r="D89" s="159"/>
      <c r="E89" s="159"/>
      <c r="F89" s="159"/>
      <c r="G89" s="159"/>
      <c r="H89" s="159"/>
      <c r="I89" s="159"/>
      <c r="J89" s="159"/>
      <c r="K89" s="159"/>
      <c r="L89" s="159"/>
      <c r="M89" s="158" t="s">
        <v>330</v>
      </c>
    </row>
    <row r="90" spans="1:13" ht="45" x14ac:dyDescent="0.2">
      <c r="A90" s="155">
        <v>54</v>
      </c>
      <c r="B90" s="156" t="s">
        <v>331</v>
      </c>
      <c r="C90" s="159"/>
      <c r="D90" s="159"/>
      <c r="E90" s="159"/>
      <c r="F90" s="159"/>
      <c r="G90" s="159"/>
      <c r="H90" s="159"/>
      <c r="I90" s="159"/>
      <c r="J90" s="159"/>
      <c r="K90" s="159"/>
      <c r="L90" s="159"/>
      <c r="M90" s="158" t="s">
        <v>332</v>
      </c>
    </row>
    <row r="91" spans="1:13" x14ac:dyDescent="0.2">
      <c r="A91" s="155" t="s">
        <v>333</v>
      </c>
      <c r="B91" s="156" t="s">
        <v>334</v>
      </c>
      <c r="C91" s="159"/>
      <c r="D91" s="159"/>
      <c r="E91" s="159"/>
      <c r="F91" s="159"/>
      <c r="G91" s="159"/>
      <c r="H91" s="159"/>
      <c r="I91" s="159"/>
      <c r="J91" s="159"/>
      <c r="K91" s="159"/>
      <c r="L91" s="159"/>
      <c r="M91" s="158">
        <v>0</v>
      </c>
    </row>
    <row r="92" spans="1:13" ht="22.5" x14ac:dyDescent="0.2">
      <c r="A92" s="155" t="s">
        <v>335</v>
      </c>
      <c r="B92" s="156" t="s">
        <v>336</v>
      </c>
      <c r="C92" s="159"/>
      <c r="D92" s="159"/>
      <c r="E92" s="159"/>
      <c r="F92" s="159"/>
      <c r="G92" s="159"/>
      <c r="H92" s="159"/>
      <c r="I92" s="159"/>
      <c r="J92" s="159"/>
      <c r="K92" s="159"/>
      <c r="L92" s="159"/>
      <c r="M92" s="158">
        <v>0</v>
      </c>
    </row>
    <row r="93" spans="1:13" ht="33.75" x14ac:dyDescent="0.2">
      <c r="A93" s="155">
        <v>55</v>
      </c>
      <c r="B93" s="156" t="s">
        <v>337</v>
      </c>
      <c r="C93" s="159"/>
      <c r="D93" s="159"/>
      <c r="E93" s="159"/>
      <c r="F93" s="159"/>
      <c r="G93" s="159"/>
      <c r="H93" s="159"/>
      <c r="I93" s="159"/>
      <c r="J93" s="159"/>
      <c r="K93" s="159"/>
      <c r="L93" s="159"/>
      <c r="M93" s="158" t="s">
        <v>338</v>
      </c>
    </row>
    <row r="94" spans="1:13" ht="33.75" x14ac:dyDescent="0.2">
      <c r="A94" s="155">
        <v>56</v>
      </c>
      <c r="B94" s="156" t="s">
        <v>339</v>
      </c>
      <c r="C94" s="159"/>
      <c r="D94" s="159"/>
      <c r="E94" s="159"/>
      <c r="F94" s="159"/>
      <c r="G94" s="159"/>
      <c r="H94" s="159"/>
      <c r="I94" s="159"/>
      <c r="J94" s="159"/>
      <c r="K94" s="159"/>
      <c r="L94" s="159"/>
      <c r="M94" s="158">
        <v>0</v>
      </c>
    </row>
    <row r="95" spans="1:13" ht="56.25" x14ac:dyDescent="0.2">
      <c r="A95" s="155" t="s">
        <v>340</v>
      </c>
      <c r="B95" s="156" t="s">
        <v>341</v>
      </c>
      <c r="C95" s="159"/>
      <c r="D95" s="159"/>
      <c r="E95" s="159"/>
      <c r="F95" s="159"/>
      <c r="G95" s="159"/>
      <c r="H95" s="159"/>
      <c r="I95" s="159"/>
      <c r="J95" s="159"/>
      <c r="K95" s="159"/>
      <c r="L95" s="159"/>
      <c r="M95" s="158" t="s">
        <v>342</v>
      </c>
    </row>
    <row r="96" spans="1:13" ht="33.75" x14ac:dyDescent="0.2">
      <c r="A96" s="155" t="s">
        <v>343</v>
      </c>
      <c r="B96" s="156" t="s">
        <v>344</v>
      </c>
      <c r="C96" s="159"/>
      <c r="D96" s="159"/>
      <c r="E96" s="159"/>
      <c r="F96" s="159"/>
      <c r="G96" s="159"/>
      <c r="H96" s="159"/>
      <c r="I96" s="159"/>
      <c r="J96" s="159"/>
      <c r="K96" s="159"/>
      <c r="L96" s="159"/>
      <c r="M96" s="158" t="s">
        <v>345</v>
      </c>
    </row>
    <row r="97" spans="1:13" ht="22.5" x14ac:dyDescent="0.2">
      <c r="A97" s="155" t="s">
        <v>346</v>
      </c>
      <c r="B97" s="156" t="s">
        <v>347</v>
      </c>
      <c r="C97" s="159"/>
      <c r="D97" s="159"/>
      <c r="E97" s="159"/>
      <c r="F97" s="159"/>
      <c r="G97" s="159"/>
      <c r="H97" s="159"/>
      <c r="I97" s="159"/>
      <c r="J97" s="159"/>
      <c r="K97" s="159"/>
      <c r="L97" s="159"/>
      <c r="M97" s="158" t="s">
        <v>308</v>
      </c>
    </row>
    <row r="98" spans="1:13" x14ac:dyDescent="0.2">
      <c r="A98" s="155"/>
      <c r="B98" s="156" t="s">
        <v>309</v>
      </c>
      <c r="C98" s="159"/>
      <c r="D98" s="159"/>
      <c r="E98" s="159"/>
      <c r="F98" s="159"/>
      <c r="G98" s="159"/>
      <c r="H98" s="159"/>
      <c r="I98" s="159"/>
      <c r="J98" s="159"/>
      <c r="K98" s="159"/>
      <c r="L98" s="159"/>
      <c r="M98" s="158">
        <v>0</v>
      </c>
    </row>
    <row r="99" spans="1:13" x14ac:dyDescent="0.2">
      <c r="A99" s="155"/>
      <c r="B99" s="156" t="s">
        <v>310</v>
      </c>
      <c r="C99" s="159"/>
      <c r="D99" s="159"/>
      <c r="E99" s="159"/>
      <c r="F99" s="159"/>
      <c r="G99" s="159"/>
      <c r="H99" s="159"/>
      <c r="I99" s="159"/>
      <c r="J99" s="159"/>
      <c r="K99" s="159"/>
      <c r="L99" s="159"/>
      <c r="M99" s="158">
        <v>0</v>
      </c>
    </row>
    <row r="100" spans="1:13" x14ac:dyDescent="0.2">
      <c r="A100" s="155">
        <v>57</v>
      </c>
      <c r="B100" s="174" t="s">
        <v>348</v>
      </c>
      <c r="C100" s="159"/>
      <c r="D100" s="159"/>
      <c r="E100" s="159"/>
      <c r="F100" s="159"/>
      <c r="G100" s="159"/>
      <c r="H100" s="159"/>
      <c r="I100" s="159"/>
      <c r="J100" s="159"/>
      <c r="K100" s="159"/>
      <c r="L100" s="159"/>
      <c r="M100" s="158">
        <v>0</v>
      </c>
    </row>
    <row r="101" spans="1:13" x14ac:dyDescent="0.2">
      <c r="A101" s="155">
        <v>58</v>
      </c>
      <c r="B101" s="174" t="s">
        <v>349</v>
      </c>
      <c r="C101" s="159">
        <v>64.859166509999994</v>
      </c>
      <c r="D101" s="159">
        <v>64.891666499999999</v>
      </c>
      <c r="E101" s="159">
        <v>64.924166490000005</v>
      </c>
      <c r="F101" s="159">
        <v>64.956666479999996</v>
      </c>
      <c r="G101" s="159">
        <v>64.989166470000001</v>
      </c>
      <c r="H101" s="159">
        <v>106.8</v>
      </c>
      <c r="I101" s="159">
        <v>65</v>
      </c>
      <c r="J101" s="159">
        <v>65</v>
      </c>
      <c r="K101" s="159">
        <v>65</v>
      </c>
      <c r="L101" s="159">
        <v>65</v>
      </c>
      <c r="M101" s="158">
        <v>0</v>
      </c>
    </row>
    <row r="102" spans="1:13" x14ac:dyDescent="0.2">
      <c r="A102" s="155">
        <v>59</v>
      </c>
      <c r="B102" s="174" t="s">
        <v>350</v>
      </c>
      <c r="C102" s="159">
        <v>1963.302968501202</v>
      </c>
      <c r="D102" s="159">
        <v>2002.9362883002793</v>
      </c>
      <c r="E102" s="159">
        <v>2256.5302587548431</v>
      </c>
      <c r="F102" s="159">
        <v>2325.4110272428784</v>
      </c>
      <c r="G102" s="159">
        <v>2293.4366231341523</v>
      </c>
      <c r="H102" s="159">
        <v>2204.0394525590768</v>
      </c>
      <c r="I102" s="159">
        <v>2193.9569470099809</v>
      </c>
      <c r="J102" s="159">
        <v>1828.8253563845226</v>
      </c>
      <c r="K102" s="159">
        <v>1905.6816196980171</v>
      </c>
      <c r="L102" s="159">
        <f>L78+L101</f>
        <v>1904.074766887351</v>
      </c>
      <c r="M102" s="158">
        <v>0</v>
      </c>
    </row>
    <row r="103" spans="1:13" ht="33.75" x14ac:dyDescent="0.2">
      <c r="A103" s="155" t="s">
        <v>351</v>
      </c>
      <c r="B103" s="156" t="s">
        <v>352</v>
      </c>
      <c r="C103" s="159"/>
      <c r="D103" s="159"/>
      <c r="E103" s="159"/>
      <c r="F103" s="159"/>
      <c r="G103" s="159"/>
      <c r="H103" s="159"/>
      <c r="I103" s="159"/>
      <c r="J103" s="159"/>
      <c r="K103" s="159"/>
      <c r="L103" s="159"/>
      <c r="M103" s="158">
        <v>0</v>
      </c>
    </row>
    <row r="104" spans="1:13" ht="45" x14ac:dyDescent="0.2">
      <c r="A104" s="155"/>
      <c r="B104" s="156" t="s">
        <v>353</v>
      </c>
      <c r="C104" s="159"/>
      <c r="D104" s="159"/>
      <c r="E104" s="159"/>
      <c r="F104" s="159"/>
      <c r="G104" s="159"/>
      <c r="H104" s="159"/>
      <c r="I104" s="159"/>
      <c r="J104" s="159"/>
      <c r="K104" s="159"/>
      <c r="L104" s="159"/>
      <c r="M104" s="158" t="s">
        <v>354</v>
      </c>
    </row>
    <row r="105" spans="1:13" ht="45" x14ac:dyDescent="0.2">
      <c r="A105" s="155"/>
      <c r="B105" s="156" t="s">
        <v>355</v>
      </c>
      <c r="C105" s="159"/>
      <c r="D105" s="159"/>
      <c r="E105" s="159"/>
      <c r="F105" s="159"/>
      <c r="G105" s="159"/>
      <c r="H105" s="159"/>
      <c r="I105" s="159"/>
      <c r="J105" s="159"/>
      <c r="K105" s="159"/>
      <c r="L105" s="159"/>
      <c r="M105" s="158" t="s">
        <v>356</v>
      </c>
    </row>
    <row r="106" spans="1:13" ht="56.25" x14ac:dyDescent="0.2">
      <c r="A106" s="155"/>
      <c r="B106" s="156" t="s">
        <v>357</v>
      </c>
      <c r="C106" s="159"/>
      <c r="D106" s="159"/>
      <c r="E106" s="159"/>
      <c r="F106" s="159"/>
      <c r="G106" s="159"/>
      <c r="H106" s="159"/>
      <c r="I106" s="159"/>
      <c r="J106" s="159"/>
      <c r="K106" s="159"/>
      <c r="L106" s="159"/>
      <c r="M106" s="158" t="s">
        <v>358</v>
      </c>
    </row>
    <row r="107" spans="1:13" x14ac:dyDescent="0.2">
      <c r="A107" s="155">
        <v>60</v>
      </c>
      <c r="B107" s="174" t="s">
        <v>359</v>
      </c>
      <c r="C107" s="159">
        <v>8747.8615207607072</v>
      </c>
      <c r="D107" s="159">
        <v>9077.8976954512073</v>
      </c>
      <c r="E107" s="159">
        <v>8925.3473001132606</v>
      </c>
      <c r="F107" s="159">
        <v>9065.352919635714</v>
      </c>
      <c r="G107" s="159">
        <v>8727.3397601100496</v>
      </c>
      <c r="H107" s="159">
        <v>8450.2551398513788</v>
      </c>
      <c r="I107" s="159">
        <v>8648.9996615477539</v>
      </c>
      <c r="J107" s="159">
        <v>8329.7814570912797</v>
      </c>
      <c r="K107" s="159">
        <v>7931.5149730829426</v>
      </c>
      <c r="L107" s="159">
        <v>7484.9553850712409</v>
      </c>
      <c r="M107" s="158">
        <v>0</v>
      </c>
    </row>
    <row r="108" spans="1:13" x14ac:dyDescent="0.2">
      <c r="A108" s="175" t="s">
        <v>360</v>
      </c>
      <c r="B108" s="176"/>
      <c r="C108" s="177"/>
      <c r="D108" s="177"/>
      <c r="E108" s="177"/>
      <c r="F108" s="177"/>
      <c r="G108" s="177"/>
      <c r="H108" s="177"/>
      <c r="I108" s="177"/>
      <c r="J108" s="177"/>
      <c r="K108" s="177"/>
      <c r="L108" s="177"/>
      <c r="M108" s="178"/>
    </row>
    <row r="109" spans="1:13" x14ac:dyDescent="0.2">
      <c r="A109" s="155">
        <v>61</v>
      </c>
      <c r="B109" s="156" t="s">
        <v>361</v>
      </c>
      <c r="C109" s="181">
        <v>0.21192537142837498</v>
      </c>
      <c r="D109" s="181">
        <v>0.20858294346598333</v>
      </c>
      <c r="E109" s="181">
        <v>0.21814905647874736</v>
      </c>
      <c r="F109" s="181">
        <v>0.22237461449475332</v>
      </c>
      <c r="G109" s="181">
        <v>0.22731983756744861</v>
      </c>
      <c r="H109" s="181">
        <v>0.22457185270176977</v>
      </c>
      <c r="I109" s="181">
        <v>0.22307862440876894</v>
      </c>
      <c r="J109" s="181">
        <v>0.18779308490174484</v>
      </c>
      <c r="K109" s="181">
        <v>0.2069127556674229</v>
      </c>
      <c r="L109" s="181">
        <f>L54/L107</f>
        <v>0.21904269064280418</v>
      </c>
      <c r="M109" s="158" t="s">
        <v>362</v>
      </c>
    </row>
    <row r="110" spans="1:13" x14ac:dyDescent="0.2">
      <c r="A110" s="155">
        <v>62</v>
      </c>
      <c r="B110" s="156" t="s">
        <v>363</v>
      </c>
      <c r="C110" s="181">
        <v>0.2170180446370526</v>
      </c>
      <c r="D110" s="181">
        <v>0.21349046737675875</v>
      </c>
      <c r="E110" s="181">
        <v>0.24554855050145019</v>
      </c>
      <c r="F110" s="181">
        <v>0.24935094979773975</v>
      </c>
      <c r="G110" s="181">
        <v>0.25534097650806392</v>
      </c>
      <c r="H110" s="181">
        <v>0.24818652429421942</v>
      </c>
      <c r="I110" s="181">
        <v>0.24615065676034495</v>
      </c>
      <c r="J110" s="181">
        <v>0.21174929564123787</v>
      </c>
      <c r="K110" s="181">
        <v>0.23207188361173237</v>
      </c>
      <c r="L110" s="181">
        <f>L78/L107</f>
        <v>0.24570283619263641</v>
      </c>
      <c r="M110" s="158" t="s">
        <v>364</v>
      </c>
    </row>
    <row r="111" spans="1:13" x14ac:dyDescent="0.2">
      <c r="A111" s="155">
        <v>63</v>
      </c>
      <c r="B111" s="156" t="s">
        <v>365</v>
      </c>
      <c r="C111" s="181">
        <v>0.2244323328440703</v>
      </c>
      <c r="D111" s="181">
        <v>0.22063878174171531</v>
      </c>
      <c r="E111" s="181">
        <v>0.25282268385524992</v>
      </c>
      <c r="F111" s="181">
        <v>0.25651632626524634</v>
      </c>
      <c r="G111" s="181">
        <v>0.26278759463642476</v>
      </c>
      <c r="H111" s="181">
        <v>0.26082519593578107</v>
      </c>
      <c r="I111" s="181">
        <v>0.2536659767445717</v>
      </c>
      <c r="J111" s="181">
        <v>0.2195526216150141</v>
      </c>
      <c r="K111" s="181">
        <v>0.24026703929391785</v>
      </c>
      <c r="L111" s="181">
        <f>L102/L107</f>
        <v>0.25438692269095309</v>
      </c>
      <c r="M111" s="158" t="s">
        <v>366</v>
      </c>
    </row>
    <row r="112" spans="1:13" ht="45" x14ac:dyDescent="0.2">
      <c r="A112" s="155">
        <v>64</v>
      </c>
      <c r="B112" s="156" t="s">
        <v>367</v>
      </c>
      <c r="C112" s="182">
        <v>0.15260000000000001</v>
      </c>
      <c r="D112" s="182">
        <v>0.14023023799034218</v>
      </c>
      <c r="E112" s="182">
        <v>0.1401673376256064</v>
      </c>
      <c r="F112" s="182">
        <v>0.1399927406493236</v>
      </c>
      <c r="G112" s="182">
        <v>0.13988097682913112</v>
      </c>
      <c r="H112" s="182">
        <v>0.13988097682913112</v>
      </c>
      <c r="I112" s="182">
        <v>0.13988502152310786</v>
      </c>
      <c r="J112" s="182">
        <v>0.13998309028028127</v>
      </c>
      <c r="K112" s="182">
        <v>0.14057789875705828</v>
      </c>
      <c r="L112" s="182">
        <v>0.14059867676401697</v>
      </c>
      <c r="M112" s="158" t="s">
        <v>368</v>
      </c>
    </row>
    <row r="113" spans="1:13" x14ac:dyDescent="0.2">
      <c r="A113" s="155">
        <v>65</v>
      </c>
      <c r="B113" s="156" t="s">
        <v>369</v>
      </c>
      <c r="C113" s="182">
        <v>2.5000000000000001E-2</v>
      </c>
      <c r="D113" s="182">
        <v>2.5000000000000001E-2</v>
      </c>
      <c r="E113" s="182">
        <v>2.5000000000000001E-2</v>
      </c>
      <c r="F113" s="182">
        <v>2.5000000000000001E-2</v>
      </c>
      <c r="G113" s="182">
        <v>2.5000000000000001E-2</v>
      </c>
      <c r="H113" s="182">
        <v>2.5000000000000001E-2</v>
      </c>
      <c r="I113" s="182">
        <v>2.5000000000000001E-2</v>
      </c>
      <c r="J113" s="182">
        <v>2.5000000000000001E-2</v>
      </c>
      <c r="K113" s="182">
        <v>2.5000000000000001E-2</v>
      </c>
      <c r="L113" s="182">
        <v>2.5000000000000001E-2</v>
      </c>
      <c r="M113" s="158">
        <v>0</v>
      </c>
    </row>
    <row r="114" spans="1:13" x14ac:dyDescent="0.2">
      <c r="A114" s="155">
        <v>66</v>
      </c>
      <c r="B114" s="156" t="s">
        <v>370</v>
      </c>
      <c r="C114" s="182">
        <v>1.7600000000000001E-2</v>
      </c>
      <c r="D114" s="182">
        <v>5.2302379903421663E-3</v>
      </c>
      <c r="E114" s="182">
        <v>5.1673376256063819E-3</v>
      </c>
      <c r="F114" s="182">
        <v>4.9927406493235895E-3</v>
      </c>
      <c r="G114" s="182">
        <v>4.8809768291311045E-3</v>
      </c>
      <c r="H114" s="182">
        <v>4.8809768291311045E-3</v>
      </c>
      <c r="I114" s="182">
        <v>4.8850215231078581E-3</v>
      </c>
      <c r="J114" s="182">
        <v>4.9830902802812573E-3</v>
      </c>
      <c r="K114" s="182">
        <v>5.5778987570582915E-3</v>
      </c>
      <c r="L114" s="182">
        <v>5.598676764016988E-3</v>
      </c>
      <c r="M114" s="158">
        <v>0</v>
      </c>
    </row>
    <row r="115" spans="1:13" x14ac:dyDescent="0.2">
      <c r="A115" s="155">
        <v>67</v>
      </c>
      <c r="B115" s="156" t="s">
        <v>371</v>
      </c>
      <c r="C115" s="182">
        <v>0.03</v>
      </c>
      <c r="D115" s="182">
        <v>0.03</v>
      </c>
      <c r="E115" s="182">
        <v>0.03</v>
      </c>
      <c r="F115" s="182">
        <v>0.03</v>
      </c>
      <c r="G115" s="182">
        <v>0.03</v>
      </c>
      <c r="H115" s="182">
        <v>0.03</v>
      </c>
      <c r="I115" s="182">
        <v>0.03</v>
      </c>
      <c r="J115" s="182">
        <v>0.03</v>
      </c>
      <c r="K115" s="182">
        <v>0.03</v>
      </c>
      <c r="L115" s="182">
        <v>0.03</v>
      </c>
      <c r="M115" s="158">
        <v>0</v>
      </c>
    </row>
    <row r="116" spans="1:13" ht="22.5" x14ac:dyDescent="0.2">
      <c r="A116" s="155" t="s">
        <v>372</v>
      </c>
      <c r="B116" s="156" t="s">
        <v>373</v>
      </c>
      <c r="C116" s="159"/>
      <c r="D116" s="159"/>
      <c r="E116" s="159"/>
      <c r="F116" s="159"/>
      <c r="G116" s="159"/>
      <c r="H116" s="159"/>
      <c r="I116" s="159"/>
      <c r="J116" s="159"/>
      <c r="K116" s="159"/>
      <c r="L116" s="159"/>
      <c r="M116" s="158" t="s">
        <v>374</v>
      </c>
    </row>
    <row r="117" spans="1:13" ht="22.5" x14ac:dyDescent="0.2">
      <c r="A117" s="155">
        <v>68</v>
      </c>
      <c r="B117" s="156" t="s">
        <v>375</v>
      </c>
      <c r="C117" s="182">
        <v>0.21192537142837498</v>
      </c>
      <c r="D117" s="182">
        <v>0.20858294346598333</v>
      </c>
      <c r="E117" s="182">
        <v>0.21814905647874736</v>
      </c>
      <c r="F117" s="182">
        <v>0.22237461449475332</v>
      </c>
      <c r="G117" s="182">
        <v>0.22731983756744861</v>
      </c>
      <c r="H117" s="182">
        <v>0.22457185270176977</v>
      </c>
      <c r="I117" s="182">
        <v>0.22307862440876894</v>
      </c>
      <c r="J117" s="182">
        <v>0.18779308490174484</v>
      </c>
      <c r="K117" s="182">
        <v>0.2069127556674229</v>
      </c>
      <c r="L117" s="182">
        <v>0.21904269064280418</v>
      </c>
      <c r="M117" s="158" t="s">
        <v>376</v>
      </c>
    </row>
    <row r="118" spans="1:13" x14ac:dyDescent="0.2">
      <c r="A118" s="155">
        <v>69</v>
      </c>
      <c r="B118" s="156" t="s">
        <v>377</v>
      </c>
      <c r="C118" s="159"/>
      <c r="D118" s="159"/>
      <c r="E118" s="159"/>
      <c r="F118" s="159"/>
      <c r="G118" s="159"/>
      <c r="H118" s="159"/>
      <c r="I118" s="159"/>
      <c r="J118" s="159"/>
      <c r="K118" s="159"/>
      <c r="L118" s="159"/>
      <c r="M118" s="158">
        <v>0</v>
      </c>
    </row>
    <row r="119" spans="1:13" x14ac:dyDescent="0.2">
      <c r="A119" s="155">
        <v>70</v>
      </c>
      <c r="B119" s="156" t="s">
        <v>377</v>
      </c>
      <c r="C119" s="159"/>
      <c r="D119" s="159"/>
      <c r="E119" s="159"/>
      <c r="F119" s="159"/>
      <c r="G119" s="159"/>
      <c r="H119" s="159"/>
      <c r="I119" s="159"/>
      <c r="J119" s="159"/>
      <c r="K119" s="159"/>
      <c r="L119" s="159"/>
      <c r="M119" s="158">
        <v>0</v>
      </c>
    </row>
    <row r="120" spans="1:13" x14ac:dyDescent="0.2">
      <c r="A120" s="155">
        <v>71</v>
      </c>
      <c r="B120" s="156" t="s">
        <v>377</v>
      </c>
      <c r="C120" s="159"/>
      <c r="D120" s="159"/>
      <c r="E120" s="159"/>
      <c r="F120" s="159"/>
      <c r="G120" s="159"/>
      <c r="H120" s="159"/>
      <c r="I120" s="159"/>
      <c r="J120" s="159"/>
      <c r="K120" s="159"/>
      <c r="L120" s="159"/>
      <c r="M120" s="158">
        <v>0</v>
      </c>
    </row>
    <row r="121" spans="1:13" x14ac:dyDescent="0.2">
      <c r="A121" s="175" t="s">
        <v>378</v>
      </c>
      <c r="B121" s="176"/>
      <c r="C121" s="177"/>
      <c r="D121" s="177"/>
      <c r="E121" s="177"/>
      <c r="F121" s="177"/>
      <c r="G121" s="177"/>
      <c r="H121" s="177"/>
      <c r="I121" s="177"/>
      <c r="J121" s="177"/>
      <c r="K121" s="177"/>
      <c r="L121" s="177"/>
      <c r="M121" s="178"/>
    </row>
    <row r="122" spans="1:13" ht="56.25" x14ac:dyDescent="0.2">
      <c r="A122" s="155">
        <v>72</v>
      </c>
      <c r="B122" s="156" t="s">
        <v>379</v>
      </c>
      <c r="C122" s="159"/>
      <c r="D122" s="159"/>
      <c r="E122" s="159"/>
      <c r="F122" s="159"/>
      <c r="G122" s="159"/>
      <c r="H122" s="159"/>
      <c r="I122" s="159"/>
      <c r="J122" s="159"/>
      <c r="K122" s="159"/>
      <c r="L122" s="159"/>
      <c r="M122" s="158" t="s">
        <v>380</v>
      </c>
    </row>
    <row r="123" spans="1:13" ht="33.75" x14ac:dyDescent="0.2">
      <c r="A123" s="155">
        <v>73</v>
      </c>
      <c r="B123" s="156" t="s">
        <v>381</v>
      </c>
      <c r="C123" s="159"/>
      <c r="D123" s="159"/>
      <c r="E123" s="159"/>
      <c r="F123" s="159"/>
      <c r="G123" s="159"/>
      <c r="H123" s="159"/>
      <c r="I123" s="159"/>
      <c r="J123" s="159"/>
      <c r="K123" s="159"/>
      <c r="L123" s="159"/>
      <c r="M123" s="158" t="s">
        <v>382</v>
      </c>
    </row>
    <row r="124" spans="1:13" x14ac:dyDescent="0.2">
      <c r="A124" s="155">
        <v>74</v>
      </c>
      <c r="B124" s="156" t="s">
        <v>220</v>
      </c>
      <c r="C124" s="159"/>
      <c r="D124" s="159"/>
      <c r="E124" s="159"/>
      <c r="F124" s="159"/>
      <c r="G124" s="159"/>
      <c r="H124" s="159"/>
      <c r="I124" s="159"/>
      <c r="J124" s="159"/>
      <c r="K124" s="159"/>
      <c r="L124" s="159"/>
      <c r="M124" s="158">
        <v>0</v>
      </c>
    </row>
    <row r="125" spans="1:13" ht="33.75" x14ac:dyDescent="0.2">
      <c r="A125" s="155">
        <v>75</v>
      </c>
      <c r="B125" s="156" t="s">
        <v>383</v>
      </c>
      <c r="C125" s="159"/>
      <c r="D125" s="159"/>
      <c r="E125" s="159"/>
      <c r="F125" s="159"/>
      <c r="G125" s="159"/>
      <c r="H125" s="159"/>
      <c r="I125" s="159"/>
      <c r="J125" s="159"/>
      <c r="K125" s="159"/>
      <c r="L125" s="159"/>
      <c r="M125" s="158" t="s">
        <v>384</v>
      </c>
    </row>
    <row r="126" spans="1:13" x14ac:dyDescent="0.2">
      <c r="A126" s="175" t="s">
        <v>385</v>
      </c>
      <c r="B126" s="176"/>
      <c r="C126" s="177"/>
      <c r="D126" s="177"/>
      <c r="E126" s="177"/>
      <c r="F126" s="177"/>
      <c r="G126" s="177"/>
      <c r="H126" s="177"/>
      <c r="I126" s="177"/>
      <c r="J126" s="177"/>
      <c r="K126" s="177"/>
      <c r="L126" s="177"/>
      <c r="M126" s="178"/>
    </row>
    <row r="127" spans="1:13" ht="22.5" x14ac:dyDescent="0.2">
      <c r="A127" s="155">
        <v>76</v>
      </c>
      <c r="B127" s="156" t="s">
        <v>386</v>
      </c>
      <c r="C127" s="159"/>
      <c r="D127" s="159"/>
      <c r="E127" s="159"/>
      <c r="F127" s="159"/>
      <c r="G127" s="159"/>
      <c r="H127" s="159"/>
      <c r="I127" s="159"/>
      <c r="J127" s="159"/>
      <c r="K127" s="159"/>
      <c r="L127" s="159"/>
      <c r="M127" s="158">
        <v>62</v>
      </c>
    </row>
    <row r="128" spans="1:13" ht="22.5" x14ac:dyDescent="0.2">
      <c r="A128" s="155">
        <v>78</v>
      </c>
      <c r="B128" s="156" t="s">
        <v>387</v>
      </c>
      <c r="C128" s="183"/>
      <c r="D128" s="183"/>
      <c r="E128" s="183"/>
      <c r="F128" s="183"/>
      <c r="G128" s="183"/>
      <c r="H128" s="183"/>
      <c r="I128" s="183"/>
      <c r="J128" s="183"/>
      <c r="K128" s="183"/>
      <c r="L128" s="183"/>
      <c r="M128" s="158">
        <v>62</v>
      </c>
    </row>
    <row r="129" spans="1:13" ht="15" customHeight="1" x14ac:dyDescent="0.2">
      <c r="A129" s="184" t="s">
        <v>388</v>
      </c>
      <c r="B129" s="185"/>
      <c r="C129" s="185"/>
      <c r="D129" s="185"/>
      <c r="E129" s="185"/>
      <c r="F129" s="185"/>
      <c r="G129" s="185"/>
      <c r="H129" s="185"/>
      <c r="I129" s="185"/>
      <c r="J129" s="185"/>
      <c r="K129" s="185"/>
      <c r="L129" s="185"/>
      <c r="M129" s="185"/>
    </row>
    <row r="130" spans="1:13" ht="22.5" x14ac:dyDescent="0.2">
      <c r="A130" s="155">
        <v>80</v>
      </c>
      <c r="B130" s="156" t="s">
        <v>389</v>
      </c>
      <c r="C130" s="159"/>
      <c r="D130" s="159"/>
      <c r="E130" s="159"/>
      <c r="F130" s="159"/>
      <c r="G130" s="159"/>
      <c r="H130" s="159"/>
      <c r="I130" s="159"/>
      <c r="J130" s="159"/>
      <c r="K130" s="159"/>
      <c r="L130" s="159"/>
      <c r="M130" s="158" t="s">
        <v>390</v>
      </c>
    </row>
    <row r="131" spans="1:13" ht="22.5" x14ac:dyDescent="0.2">
      <c r="A131" s="155">
        <v>81</v>
      </c>
      <c r="B131" s="156" t="s">
        <v>391</v>
      </c>
      <c r="C131" s="159"/>
      <c r="D131" s="159"/>
      <c r="E131" s="159"/>
      <c r="F131" s="159"/>
      <c r="G131" s="159"/>
      <c r="H131" s="159"/>
      <c r="I131" s="159"/>
      <c r="J131" s="159"/>
      <c r="K131" s="159"/>
      <c r="L131" s="159"/>
      <c r="M131" s="158" t="s">
        <v>390</v>
      </c>
    </row>
    <row r="132" spans="1:13" ht="26.25" customHeight="1" x14ac:dyDescent="0.2">
      <c r="A132" s="155">
        <v>82</v>
      </c>
      <c r="B132" s="156" t="s">
        <v>392</v>
      </c>
      <c r="C132" s="159"/>
      <c r="D132" s="159"/>
      <c r="E132" s="159"/>
      <c r="F132" s="159"/>
      <c r="G132" s="159"/>
      <c r="H132" s="159"/>
      <c r="I132" s="159"/>
      <c r="J132" s="159"/>
      <c r="K132" s="159"/>
      <c r="L132" s="159"/>
      <c r="M132" s="158" t="s">
        <v>393</v>
      </c>
    </row>
    <row r="133" spans="1:13" ht="22.5" x14ac:dyDescent="0.2">
      <c r="A133" s="155">
        <v>83</v>
      </c>
      <c r="B133" s="156" t="s">
        <v>394</v>
      </c>
      <c r="C133" s="159"/>
      <c r="D133" s="159"/>
      <c r="E133" s="159"/>
      <c r="F133" s="159"/>
      <c r="G133" s="159"/>
      <c r="H133" s="159"/>
      <c r="I133" s="159"/>
      <c r="J133" s="159"/>
      <c r="K133" s="159"/>
      <c r="L133" s="159"/>
      <c r="M133" s="158" t="s">
        <v>393</v>
      </c>
    </row>
    <row r="134" spans="1:13" ht="22.5" x14ac:dyDescent="0.2">
      <c r="A134" s="155">
        <v>84</v>
      </c>
      <c r="B134" s="156" t="s">
        <v>395</v>
      </c>
      <c r="C134" s="159"/>
      <c r="D134" s="159"/>
      <c r="E134" s="159"/>
      <c r="F134" s="159"/>
      <c r="G134" s="159"/>
      <c r="H134" s="159"/>
      <c r="I134" s="159"/>
      <c r="J134" s="159"/>
      <c r="K134" s="159"/>
      <c r="L134" s="159"/>
      <c r="M134" s="158" t="s">
        <v>396</v>
      </c>
    </row>
    <row r="135" spans="1:13" ht="22.5" x14ac:dyDescent="0.2">
      <c r="A135" s="155">
        <v>85</v>
      </c>
      <c r="B135" s="156" t="s">
        <v>397</v>
      </c>
      <c r="C135" s="159"/>
      <c r="D135" s="159"/>
      <c r="E135" s="159"/>
      <c r="F135" s="159"/>
      <c r="G135" s="159"/>
      <c r="H135" s="159"/>
      <c r="I135" s="159"/>
      <c r="J135" s="159"/>
      <c r="K135" s="159"/>
      <c r="L135" s="159"/>
      <c r="M135" s="158" t="s">
        <v>396</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54"/>
  <sheetViews>
    <sheetView workbookViewId="0">
      <pane xSplit="2" ySplit="6" topLeftCell="C7" activePane="bottomRight" state="frozen"/>
      <selection pane="topRight" activeCell="C1" sqref="C1"/>
      <selection pane="bottomLeft" activeCell="A7" sqref="A7"/>
      <selection pane="bottomRight" activeCell="C24" sqref="C24"/>
    </sheetView>
  </sheetViews>
  <sheetFormatPr defaultColWidth="9.140625" defaultRowHeight="15" x14ac:dyDescent="0.25"/>
  <cols>
    <col min="1" max="1" width="9.140625" style="154"/>
    <col min="2" max="2" width="74.85546875" style="154" bestFit="1" customWidth="1"/>
    <col min="3" max="4" width="36" style="154" customWidth="1"/>
    <col min="5" max="249" width="9.140625" style="154"/>
    <col min="250" max="250" width="74.85546875" style="154" bestFit="1" customWidth="1"/>
    <col min="251" max="256" width="29.42578125" style="154" customWidth="1"/>
    <col min="257" max="505" width="9.140625" style="154"/>
    <col min="506" max="506" width="74.85546875" style="154" bestFit="1" customWidth="1"/>
    <col min="507" max="512" width="29.42578125" style="154" customWidth="1"/>
    <col min="513" max="761" width="9.140625" style="154"/>
    <col min="762" max="762" width="74.85546875" style="154" bestFit="1" customWidth="1"/>
    <col min="763" max="768" width="29.42578125" style="154" customWidth="1"/>
    <col min="769" max="1017" width="9.140625" style="154"/>
    <col min="1018" max="1018" width="74.85546875" style="154" bestFit="1" customWidth="1"/>
    <col min="1019" max="1024" width="29.42578125" style="154" customWidth="1"/>
    <col min="1025" max="1273" width="9.140625" style="154"/>
    <col min="1274" max="1274" width="74.85546875" style="154" bestFit="1" customWidth="1"/>
    <col min="1275" max="1280" width="29.42578125" style="154" customWidth="1"/>
    <col min="1281" max="1529" width="9.140625" style="154"/>
    <col min="1530" max="1530" width="74.85546875" style="154" bestFit="1" customWidth="1"/>
    <col min="1531" max="1536" width="29.42578125" style="154" customWidth="1"/>
    <col min="1537" max="1785" width="9.140625" style="154"/>
    <col min="1786" max="1786" width="74.85546875" style="154" bestFit="1" customWidth="1"/>
    <col min="1787" max="1792" width="29.42578125" style="154" customWidth="1"/>
    <col min="1793" max="2041" width="9.140625" style="154"/>
    <col min="2042" max="2042" width="74.85546875" style="154" bestFit="1" customWidth="1"/>
    <col min="2043" max="2048" width="29.42578125" style="154" customWidth="1"/>
    <col min="2049" max="2297" width="9.140625" style="154"/>
    <col min="2298" max="2298" width="74.85546875" style="154" bestFit="1" customWidth="1"/>
    <col min="2299" max="2304" width="29.42578125" style="154" customWidth="1"/>
    <col min="2305" max="2553" width="9.140625" style="154"/>
    <col min="2554" max="2554" width="74.85546875" style="154" bestFit="1" customWidth="1"/>
    <col min="2555" max="2560" width="29.42578125" style="154" customWidth="1"/>
    <col min="2561" max="2809" width="9.140625" style="154"/>
    <col min="2810" max="2810" width="74.85546875" style="154" bestFit="1" customWidth="1"/>
    <col min="2811" max="2816" width="29.42578125" style="154" customWidth="1"/>
    <col min="2817" max="3065" width="9.140625" style="154"/>
    <col min="3066" max="3066" width="74.85546875" style="154" bestFit="1" customWidth="1"/>
    <col min="3067" max="3072" width="29.42578125" style="154" customWidth="1"/>
    <col min="3073" max="3321" width="9.140625" style="154"/>
    <col min="3322" max="3322" width="74.85546875" style="154" bestFit="1" customWidth="1"/>
    <col min="3323" max="3328" width="29.42578125" style="154" customWidth="1"/>
    <col min="3329" max="3577" width="9.140625" style="154"/>
    <col min="3578" max="3578" width="74.85546875" style="154" bestFit="1" customWidth="1"/>
    <col min="3579" max="3584" width="29.42578125" style="154" customWidth="1"/>
    <col min="3585" max="3833" width="9.140625" style="154"/>
    <col min="3834" max="3834" width="74.85546875" style="154" bestFit="1" customWidth="1"/>
    <col min="3835" max="3840" width="29.42578125" style="154" customWidth="1"/>
    <col min="3841" max="4089" width="9.140625" style="154"/>
    <col min="4090" max="4090" width="74.85546875" style="154" bestFit="1" customWidth="1"/>
    <col min="4091" max="4096" width="29.42578125" style="154" customWidth="1"/>
    <col min="4097" max="4345" width="9.140625" style="154"/>
    <col min="4346" max="4346" width="74.85546875" style="154" bestFit="1" customWidth="1"/>
    <col min="4347" max="4352" width="29.42578125" style="154" customWidth="1"/>
    <col min="4353" max="4601" width="9.140625" style="154"/>
    <col min="4602" max="4602" width="74.85546875" style="154" bestFit="1" customWidth="1"/>
    <col min="4603" max="4608" width="29.42578125" style="154" customWidth="1"/>
    <col min="4609" max="4857" width="9.140625" style="154"/>
    <col min="4858" max="4858" width="74.85546875" style="154" bestFit="1" customWidth="1"/>
    <col min="4859" max="4864" width="29.42578125" style="154" customWidth="1"/>
    <col min="4865" max="5113" width="9.140625" style="154"/>
    <col min="5114" max="5114" width="74.85546875" style="154" bestFit="1" customWidth="1"/>
    <col min="5115" max="5120" width="29.42578125" style="154" customWidth="1"/>
    <col min="5121" max="5369" width="9.140625" style="154"/>
    <col min="5370" max="5370" width="74.85546875" style="154" bestFit="1" customWidth="1"/>
    <col min="5371" max="5376" width="29.42578125" style="154" customWidth="1"/>
    <col min="5377" max="5625" width="9.140625" style="154"/>
    <col min="5626" max="5626" width="74.85546875" style="154" bestFit="1" customWidth="1"/>
    <col min="5627" max="5632" width="29.42578125" style="154" customWidth="1"/>
    <col min="5633" max="5881" width="9.140625" style="154"/>
    <col min="5882" max="5882" width="74.85546875" style="154" bestFit="1" customWidth="1"/>
    <col min="5883" max="5888" width="29.42578125" style="154" customWidth="1"/>
    <col min="5889" max="6137" width="9.140625" style="154"/>
    <col min="6138" max="6138" width="74.85546875" style="154" bestFit="1" customWidth="1"/>
    <col min="6139" max="6144" width="29.42578125" style="154" customWidth="1"/>
    <col min="6145" max="6393" width="9.140625" style="154"/>
    <col min="6394" max="6394" width="74.85546875" style="154" bestFit="1" customWidth="1"/>
    <col min="6395" max="6400" width="29.42578125" style="154" customWidth="1"/>
    <col min="6401" max="6649" width="9.140625" style="154"/>
    <col min="6650" max="6650" width="74.85546875" style="154" bestFit="1" customWidth="1"/>
    <col min="6651" max="6656" width="29.42578125" style="154" customWidth="1"/>
    <col min="6657" max="6905" width="9.140625" style="154"/>
    <col min="6906" max="6906" width="74.85546875" style="154" bestFit="1" customWidth="1"/>
    <col min="6907" max="6912" width="29.42578125" style="154" customWidth="1"/>
    <col min="6913" max="7161" width="9.140625" style="154"/>
    <col min="7162" max="7162" width="74.85546875" style="154" bestFit="1" customWidth="1"/>
    <col min="7163" max="7168" width="29.42578125" style="154" customWidth="1"/>
    <col min="7169" max="7417" width="9.140625" style="154"/>
    <col min="7418" max="7418" width="74.85546875" style="154" bestFit="1" customWidth="1"/>
    <col min="7419" max="7424" width="29.42578125" style="154" customWidth="1"/>
    <col min="7425" max="7673" width="9.140625" style="154"/>
    <col min="7674" max="7674" width="74.85546875" style="154" bestFit="1" customWidth="1"/>
    <col min="7675" max="7680" width="29.42578125" style="154" customWidth="1"/>
    <col min="7681" max="7929" width="9.140625" style="154"/>
    <col min="7930" max="7930" width="74.85546875" style="154" bestFit="1" customWidth="1"/>
    <col min="7931" max="7936" width="29.42578125" style="154" customWidth="1"/>
    <col min="7937" max="8185" width="9.140625" style="154"/>
    <col min="8186" max="8186" width="74.85546875" style="154" bestFit="1" customWidth="1"/>
    <col min="8187" max="8192" width="29.42578125" style="154" customWidth="1"/>
    <col min="8193" max="8441" width="9.140625" style="154"/>
    <col min="8442" max="8442" width="74.85546875" style="154" bestFit="1" customWidth="1"/>
    <col min="8443" max="8448" width="29.42578125" style="154" customWidth="1"/>
    <col min="8449" max="8697" width="9.140625" style="154"/>
    <col min="8698" max="8698" width="74.85546875" style="154" bestFit="1" customWidth="1"/>
    <col min="8699" max="8704" width="29.42578125" style="154" customWidth="1"/>
    <col min="8705" max="8953" width="9.140625" style="154"/>
    <col min="8954" max="8954" width="74.85546875" style="154" bestFit="1" customWidth="1"/>
    <col min="8955" max="8960" width="29.42578125" style="154" customWidth="1"/>
    <col min="8961" max="9209" width="9.140625" style="154"/>
    <col min="9210" max="9210" width="74.85546875" style="154" bestFit="1" customWidth="1"/>
    <col min="9211" max="9216" width="29.42578125" style="154" customWidth="1"/>
    <col min="9217" max="9465" width="9.140625" style="154"/>
    <col min="9466" max="9466" width="74.85546875" style="154" bestFit="1" customWidth="1"/>
    <col min="9467" max="9472" width="29.42578125" style="154" customWidth="1"/>
    <col min="9473" max="9721" width="9.140625" style="154"/>
    <col min="9722" max="9722" width="74.85546875" style="154" bestFit="1" customWidth="1"/>
    <col min="9723" max="9728" width="29.42578125" style="154" customWidth="1"/>
    <col min="9729" max="9977" width="9.140625" style="154"/>
    <col min="9978" max="9978" width="74.85546875" style="154" bestFit="1" customWidth="1"/>
    <col min="9979" max="9984" width="29.42578125" style="154" customWidth="1"/>
    <col min="9985" max="10233" width="9.140625" style="154"/>
    <col min="10234" max="10234" width="74.85546875" style="154" bestFit="1" customWidth="1"/>
    <col min="10235" max="10240" width="29.42578125" style="154" customWidth="1"/>
    <col min="10241" max="10489" width="9.140625" style="154"/>
    <col min="10490" max="10490" width="74.85546875" style="154" bestFit="1" customWidth="1"/>
    <col min="10491" max="10496" width="29.42578125" style="154" customWidth="1"/>
    <col min="10497" max="10745" width="9.140625" style="154"/>
    <col min="10746" max="10746" width="74.85546875" style="154" bestFit="1" customWidth="1"/>
    <col min="10747" max="10752" width="29.42578125" style="154" customWidth="1"/>
    <col min="10753" max="11001" width="9.140625" style="154"/>
    <col min="11002" max="11002" width="74.85546875" style="154" bestFit="1" customWidth="1"/>
    <col min="11003" max="11008" width="29.42578125" style="154" customWidth="1"/>
    <col min="11009" max="11257" width="9.140625" style="154"/>
    <col min="11258" max="11258" width="74.85546875" style="154" bestFit="1" customWidth="1"/>
    <col min="11259" max="11264" width="29.42578125" style="154" customWidth="1"/>
    <col min="11265" max="11513" width="9.140625" style="154"/>
    <col min="11514" max="11514" width="74.85546875" style="154" bestFit="1" customWidth="1"/>
    <col min="11515" max="11520" width="29.42578125" style="154" customWidth="1"/>
    <col min="11521" max="11769" width="9.140625" style="154"/>
    <col min="11770" max="11770" width="74.85546875" style="154" bestFit="1" customWidth="1"/>
    <col min="11771" max="11776" width="29.42578125" style="154" customWidth="1"/>
    <col min="11777" max="12025" width="9.140625" style="154"/>
    <col min="12026" max="12026" width="74.85546875" style="154" bestFit="1" customWidth="1"/>
    <col min="12027" max="12032" width="29.42578125" style="154" customWidth="1"/>
    <col min="12033" max="12281" width="9.140625" style="154"/>
    <col min="12282" max="12282" width="74.85546875" style="154" bestFit="1" customWidth="1"/>
    <col min="12283" max="12288" width="29.42578125" style="154" customWidth="1"/>
    <col min="12289" max="12537" width="9.140625" style="154"/>
    <col min="12538" max="12538" width="74.85546875" style="154" bestFit="1" customWidth="1"/>
    <col min="12539" max="12544" width="29.42578125" style="154" customWidth="1"/>
    <col min="12545" max="12793" width="9.140625" style="154"/>
    <col min="12794" max="12794" width="74.85546875" style="154" bestFit="1" customWidth="1"/>
    <col min="12795" max="12800" width="29.42578125" style="154" customWidth="1"/>
    <col min="12801" max="13049" width="9.140625" style="154"/>
    <col min="13050" max="13050" width="74.85546875" style="154" bestFit="1" customWidth="1"/>
    <col min="13051" max="13056" width="29.42578125" style="154" customWidth="1"/>
    <col min="13057" max="13305" width="9.140625" style="154"/>
    <col min="13306" max="13306" width="74.85546875" style="154" bestFit="1" customWidth="1"/>
    <col min="13307" max="13312" width="29.42578125" style="154" customWidth="1"/>
    <col min="13313" max="13561" width="9.140625" style="154"/>
    <col min="13562" max="13562" width="74.85546875" style="154" bestFit="1" customWidth="1"/>
    <col min="13563" max="13568" width="29.42578125" style="154" customWidth="1"/>
    <col min="13569" max="13817" width="9.140625" style="154"/>
    <col min="13818" max="13818" width="74.85546875" style="154" bestFit="1" customWidth="1"/>
    <col min="13819" max="13824" width="29.42578125" style="154" customWidth="1"/>
    <col min="13825" max="14073" width="9.140625" style="154"/>
    <col min="14074" max="14074" width="74.85546875" style="154" bestFit="1" customWidth="1"/>
    <col min="14075" max="14080" width="29.42578125" style="154" customWidth="1"/>
    <col min="14081" max="14329" width="9.140625" style="154"/>
    <col min="14330" max="14330" width="74.85546875" style="154" bestFit="1" customWidth="1"/>
    <col min="14331" max="14336" width="29.42578125" style="154" customWidth="1"/>
    <col min="14337" max="14585" width="9.140625" style="154"/>
    <col min="14586" max="14586" width="74.85546875" style="154" bestFit="1" customWidth="1"/>
    <col min="14587" max="14592" width="29.42578125" style="154" customWidth="1"/>
    <col min="14593" max="14841" width="9.140625" style="154"/>
    <col min="14842" max="14842" width="74.85546875" style="154" bestFit="1" customWidth="1"/>
    <col min="14843" max="14848" width="29.42578125" style="154" customWidth="1"/>
    <col min="14849" max="15097" width="9.140625" style="154"/>
    <col min="15098" max="15098" width="74.85546875" style="154" bestFit="1" customWidth="1"/>
    <col min="15099" max="15104" width="29.42578125" style="154" customWidth="1"/>
    <col min="15105" max="15353" width="9.140625" style="154"/>
    <col min="15354" max="15354" width="74.85546875" style="154" bestFit="1" customWidth="1"/>
    <col min="15355" max="15360" width="29.42578125" style="154" customWidth="1"/>
    <col min="15361" max="15609" width="9.140625" style="154"/>
    <col min="15610" max="15610" width="74.85546875" style="154" bestFit="1" customWidth="1"/>
    <col min="15611" max="15616" width="29.42578125" style="154" customWidth="1"/>
    <col min="15617" max="15865" width="9.140625" style="154"/>
    <col min="15866" max="15866" width="74.85546875" style="154" bestFit="1" customWidth="1"/>
    <col min="15867" max="15872" width="29.42578125" style="154" customWidth="1"/>
    <col min="15873" max="16121" width="9.140625" style="154"/>
    <col min="16122" max="16122" width="74.85546875" style="154" bestFit="1" customWidth="1"/>
    <col min="16123" max="16128" width="29.42578125" style="154" customWidth="1"/>
    <col min="16129" max="16384" width="9.140625" style="154"/>
  </cols>
  <sheetData>
    <row r="1" spans="1:4" x14ac:dyDescent="0.25">
      <c r="A1" s="133"/>
      <c r="B1" s="133"/>
    </row>
    <row r="2" spans="1:4" s="153" customFormat="1" ht="6" customHeight="1" x14ac:dyDescent="0.2"/>
    <row r="3" spans="1:4" ht="18" x14ac:dyDescent="0.25">
      <c r="A3" s="136" t="s">
        <v>398</v>
      </c>
    </row>
    <row r="4" spans="1:4" x14ac:dyDescent="0.25">
      <c r="A4" s="154" t="s">
        <v>518</v>
      </c>
    </row>
    <row r="6" spans="1:4" ht="15" customHeight="1" x14ac:dyDescent="0.25">
      <c r="A6" s="254" t="s">
        <v>399</v>
      </c>
      <c r="B6" s="255"/>
      <c r="C6" s="255"/>
      <c r="D6" s="255"/>
    </row>
    <row r="7" spans="1:4" x14ac:dyDescent="0.25">
      <c r="A7" s="188">
        <v>1</v>
      </c>
      <c r="B7" s="188" t="s">
        <v>400</v>
      </c>
      <c r="C7" s="189" t="s">
        <v>584</v>
      </c>
      <c r="D7" s="189" t="s">
        <v>584</v>
      </c>
    </row>
    <row r="8" spans="1:4" x14ac:dyDescent="0.25">
      <c r="A8" s="188">
        <v>2</v>
      </c>
      <c r="B8" s="188" t="s">
        <v>401</v>
      </c>
      <c r="C8" s="189" t="s">
        <v>686</v>
      </c>
      <c r="D8" s="189" t="s">
        <v>588</v>
      </c>
    </row>
    <row r="9" spans="1:4" x14ac:dyDescent="0.25">
      <c r="A9" s="188">
        <v>3</v>
      </c>
      <c r="B9" s="188" t="s">
        <v>402</v>
      </c>
      <c r="C9" s="189" t="s">
        <v>403</v>
      </c>
      <c r="D9" s="189" t="s">
        <v>403</v>
      </c>
    </row>
    <row r="10" spans="1:4" x14ac:dyDescent="0.25">
      <c r="A10" s="188"/>
      <c r="B10" s="190" t="s">
        <v>404</v>
      </c>
      <c r="C10" s="191"/>
      <c r="D10" s="191"/>
    </row>
    <row r="11" spans="1:4" x14ac:dyDescent="0.25">
      <c r="A11" s="188">
        <v>4</v>
      </c>
      <c r="B11" s="188" t="s">
        <v>405</v>
      </c>
      <c r="C11" s="189" t="s">
        <v>188</v>
      </c>
      <c r="D11" s="189" t="s">
        <v>406</v>
      </c>
    </row>
    <row r="12" spans="1:4" x14ac:dyDescent="0.25">
      <c r="A12" s="188">
        <v>5</v>
      </c>
      <c r="B12" s="188" t="s">
        <v>407</v>
      </c>
      <c r="C12" s="189" t="s">
        <v>188</v>
      </c>
      <c r="D12" s="189" t="s">
        <v>406</v>
      </c>
    </row>
    <row r="13" spans="1:4" x14ac:dyDescent="0.25">
      <c r="A13" s="188">
        <v>6</v>
      </c>
      <c r="B13" s="188" t="s">
        <v>408</v>
      </c>
      <c r="C13" s="189" t="s">
        <v>409</v>
      </c>
      <c r="D13" s="189" t="s">
        <v>409</v>
      </c>
    </row>
    <row r="14" spans="1:4" x14ac:dyDescent="0.25">
      <c r="A14" s="188">
        <v>7</v>
      </c>
      <c r="B14" s="188" t="s">
        <v>410</v>
      </c>
      <c r="C14" s="192" t="s">
        <v>411</v>
      </c>
      <c r="D14" s="192" t="s">
        <v>412</v>
      </c>
    </row>
    <row r="15" spans="1:4" x14ac:dyDescent="0.25">
      <c r="A15" s="188">
        <v>8</v>
      </c>
      <c r="B15" s="188" t="s">
        <v>413</v>
      </c>
      <c r="C15" s="189" t="s">
        <v>585</v>
      </c>
      <c r="D15" s="189" t="s">
        <v>587</v>
      </c>
    </row>
    <row r="16" spans="1:4" x14ac:dyDescent="0.25">
      <c r="A16" s="188">
        <v>9</v>
      </c>
      <c r="B16" s="188" t="s">
        <v>414</v>
      </c>
      <c r="C16" s="189" t="s">
        <v>586</v>
      </c>
      <c r="D16" s="189" t="s">
        <v>587</v>
      </c>
    </row>
    <row r="17" spans="1:4" x14ac:dyDescent="0.25">
      <c r="A17" s="193" t="s">
        <v>415</v>
      </c>
      <c r="B17" s="188" t="s">
        <v>416</v>
      </c>
      <c r="C17" s="189">
        <v>100</v>
      </c>
      <c r="D17" s="189">
        <v>100</v>
      </c>
    </row>
    <row r="18" spans="1:4" x14ac:dyDescent="0.25">
      <c r="A18" s="193" t="s">
        <v>417</v>
      </c>
      <c r="B18" s="188" t="s">
        <v>418</v>
      </c>
      <c r="C18" s="189">
        <v>100</v>
      </c>
      <c r="D18" s="189">
        <v>100</v>
      </c>
    </row>
    <row r="19" spans="1:4" x14ac:dyDescent="0.25">
      <c r="A19" s="188">
        <v>10</v>
      </c>
      <c r="B19" s="188" t="s">
        <v>419</v>
      </c>
      <c r="C19" s="189" t="s">
        <v>420</v>
      </c>
      <c r="D19" s="189" t="s">
        <v>421</v>
      </c>
    </row>
    <row r="20" spans="1:4" x14ac:dyDescent="0.25">
      <c r="A20" s="188">
        <v>11</v>
      </c>
      <c r="B20" s="188" t="s">
        <v>422</v>
      </c>
      <c r="C20" s="195" t="s">
        <v>687</v>
      </c>
      <c r="D20" s="195" t="s">
        <v>589</v>
      </c>
    </row>
    <row r="21" spans="1:4" x14ac:dyDescent="0.25">
      <c r="A21" s="188">
        <v>12</v>
      </c>
      <c r="B21" s="188" t="s">
        <v>423</v>
      </c>
      <c r="C21" s="189" t="s">
        <v>424</v>
      </c>
      <c r="D21" s="189" t="s">
        <v>425</v>
      </c>
    </row>
    <row r="22" spans="1:4" x14ac:dyDescent="0.25">
      <c r="A22" s="188">
        <v>13</v>
      </c>
      <c r="B22" s="188" t="s">
        <v>426</v>
      </c>
      <c r="C22" s="196">
        <v>47910</v>
      </c>
      <c r="D22" s="196" t="s">
        <v>427</v>
      </c>
    </row>
    <row r="23" spans="1:4" x14ac:dyDescent="0.25">
      <c r="A23" s="188">
        <v>14</v>
      </c>
      <c r="B23" s="188" t="s">
        <v>428</v>
      </c>
      <c r="C23" s="189" t="s">
        <v>429</v>
      </c>
      <c r="D23" s="189" t="s">
        <v>429</v>
      </c>
    </row>
    <row r="24" spans="1:4" ht="57" x14ac:dyDescent="0.25">
      <c r="A24" s="188">
        <v>15</v>
      </c>
      <c r="B24" s="188" t="s">
        <v>430</v>
      </c>
      <c r="C24" s="197" t="s">
        <v>688</v>
      </c>
      <c r="D24" s="197" t="s">
        <v>590</v>
      </c>
    </row>
    <row r="25" spans="1:4" x14ac:dyDescent="0.25">
      <c r="A25" s="198">
        <v>16</v>
      </c>
      <c r="B25" s="198" t="s">
        <v>431</v>
      </c>
      <c r="C25" s="192" t="s">
        <v>689</v>
      </c>
      <c r="D25" s="192" t="s">
        <v>591</v>
      </c>
    </row>
    <row r="26" spans="1:4" x14ac:dyDescent="0.25">
      <c r="A26" s="198"/>
      <c r="B26" s="199" t="s">
        <v>432</v>
      </c>
      <c r="C26" s="200"/>
      <c r="D26" s="200"/>
    </row>
    <row r="27" spans="1:4" x14ac:dyDescent="0.25">
      <c r="A27" s="198">
        <v>17</v>
      </c>
      <c r="B27" s="198" t="s">
        <v>433</v>
      </c>
      <c r="C27" s="194" t="s">
        <v>434</v>
      </c>
      <c r="D27" s="194" t="s">
        <v>434</v>
      </c>
    </row>
    <row r="28" spans="1:4" x14ac:dyDescent="0.25">
      <c r="A28" s="198">
        <v>18</v>
      </c>
      <c r="B28" s="198" t="s">
        <v>435</v>
      </c>
      <c r="C28" s="192" t="s">
        <v>690</v>
      </c>
      <c r="D28" s="192" t="s">
        <v>592</v>
      </c>
    </row>
    <row r="29" spans="1:4" x14ac:dyDescent="0.25">
      <c r="A29" s="198">
        <v>19</v>
      </c>
      <c r="B29" s="198" t="s">
        <v>436</v>
      </c>
      <c r="C29" s="194" t="s">
        <v>437</v>
      </c>
      <c r="D29" s="194" t="s">
        <v>437</v>
      </c>
    </row>
    <row r="30" spans="1:4" x14ac:dyDescent="0.25">
      <c r="A30" s="201" t="s">
        <v>241</v>
      </c>
      <c r="B30" s="198" t="s">
        <v>438</v>
      </c>
      <c r="C30" s="194" t="s">
        <v>439</v>
      </c>
      <c r="D30" s="194" t="s">
        <v>440</v>
      </c>
    </row>
    <row r="31" spans="1:4" x14ac:dyDescent="0.25">
      <c r="A31" s="201" t="s">
        <v>244</v>
      </c>
      <c r="B31" s="198" t="s">
        <v>441</v>
      </c>
      <c r="C31" s="194" t="s">
        <v>439</v>
      </c>
      <c r="D31" s="194" t="s">
        <v>440</v>
      </c>
    </row>
    <row r="32" spans="1:4" x14ac:dyDescent="0.25">
      <c r="A32" s="198">
        <v>21</v>
      </c>
      <c r="B32" s="198" t="s">
        <v>442</v>
      </c>
      <c r="C32" s="194" t="s">
        <v>437</v>
      </c>
      <c r="D32" s="194" t="s">
        <v>437</v>
      </c>
    </row>
    <row r="33" spans="1:4" x14ac:dyDescent="0.25">
      <c r="A33" s="198">
        <v>22</v>
      </c>
      <c r="B33" s="198" t="s">
        <v>443</v>
      </c>
      <c r="C33" s="194" t="s">
        <v>444</v>
      </c>
      <c r="D33" s="194" t="s">
        <v>444</v>
      </c>
    </row>
    <row r="34" spans="1:4" x14ac:dyDescent="0.25">
      <c r="A34" s="198">
        <v>23</v>
      </c>
      <c r="B34" s="198" t="s">
        <v>445</v>
      </c>
      <c r="C34" s="194" t="s">
        <v>446</v>
      </c>
      <c r="D34" s="194" t="s">
        <v>446</v>
      </c>
    </row>
    <row r="35" spans="1:4" x14ac:dyDescent="0.25">
      <c r="A35" s="198">
        <v>24</v>
      </c>
      <c r="B35" s="198" t="s">
        <v>447</v>
      </c>
      <c r="C35" s="194" t="s">
        <v>448</v>
      </c>
      <c r="D35" s="194" t="s">
        <v>448</v>
      </c>
    </row>
    <row r="36" spans="1:4" x14ac:dyDescent="0.25">
      <c r="A36" s="198">
        <v>25</v>
      </c>
      <c r="B36" s="198" t="s">
        <v>449</v>
      </c>
      <c r="C36" s="194" t="s">
        <v>448</v>
      </c>
      <c r="D36" s="194" t="s">
        <v>448</v>
      </c>
    </row>
    <row r="37" spans="1:4" x14ac:dyDescent="0.25">
      <c r="A37" s="198">
        <v>26</v>
      </c>
      <c r="B37" s="198" t="s">
        <v>450</v>
      </c>
      <c r="C37" s="194" t="s">
        <v>448</v>
      </c>
      <c r="D37" s="194" t="s">
        <v>448</v>
      </c>
    </row>
    <row r="38" spans="1:4" x14ac:dyDescent="0.25">
      <c r="A38" s="198">
        <v>27</v>
      </c>
      <c r="B38" s="198" t="s">
        <v>451</v>
      </c>
      <c r="C38" s="194" t="s">
        <v>448</v>
      </c>
      <c r="D38" s="194" t="s">
        <v>448</v>
      </c>
    </row>
    <row r="39" spans="1:4" x14ac:dyDescent="0.25">
      <c r="A39" s="198">
        <v>28</v>
      </c>
      <c r="B39" s="198" t="s">
        <v>452</v>
      </c>
      <c r="C39" s="194" t="s">
        <v>448</v>
      </c>
      <c r="D39" s="194" t="s">
        <v>448</v>
      </c>
    </row>
    <row r="40" spans="1:4" x14ac:dyDescent="0.25">
      <c r="A40" s="198">
        <v>29</v>
      </c>
      <c r="B40" s="198" t="s">
        <v>453</v>
      </c>
      <c r="C40" s="194" t="s">
        <v>448</v>
      </c>
      <c r="D40" s="194" t="s">
        <v>448</v>
      </c>
    </row>
    <row r="41" spans="1:4" x14ac:dyDescent="0.25">
      <c r="A41" s="198">
        <v>30</v>
      </c>
      <c r="B41" s="198" t="s">
        <v>454</v>
      </c>
      <c r="C41" s="194" t="s">
        <v>437</v>
      </c>
      <c r="D41" s="194" t="s">
        <v>429</v>
      </c>
    </row>
    <row r="42" spans="1:4" x14ac:dyDescent="0.25">
      <c r="A42" s="198">
        <v>31</v>
      </c>
      <c r="B42" s="198" t="s">
        <v>455</v>
      </c>
      <c r="C42" s="192" t="s">
        <v>448</v>
      </c>
      <c r="D42" s="192" t="s">
        <v>456</v>
      </c>
    </row>
    <row r="43" spans="1:4" x14ac:dyDescent="0.25">
      <c r="A43" s="198">
        <v>32</v>
      </c>
      <c r="B43" s="198" t="s">
        <v>457</v>
      </c>
      <c r="C43" s="194" t="s">
        <v>448</v>
      </c>
      <c r="D43" s="194" t="s">
        <v>458</v>
      </c>
    </row>
    <row r="44" spans="1:4" x14ac:dyDescent="0.25">
      <c r="A44" s="198">
        <v>33</v>
      </c>
      <c r="B44" s="198" t="s">
        <v>459</v>
      </c>
      <c r="C44" s="194" t="s">
        <v>448</v>
      </c>
      <c r="D44" s="194" t="s">
        <v>460</v>
      </c>
    </row>
    <row r="45" spans="1:4" ht="34.5" x14ac:dyDescent="0.25">
      <c r="A45" s="198">
        <v>34</v>
      </c>
      <c r="B45" s="198" t="s">
        <v>461</v>
      </c>
      <c r="C45" s="192" t="s">
        <v>448</v>
      </c>
      <c r="D45" s="192" t="s">
        <v>462</v>
      </c>
    </row>
    <row r="46" spans="1:4" x14ac:dyDescent="0.25">
      <c r="A46" s="198">
        <v>35</v>
      </c>
      <c r="B46" s="198" t="s">
        <v>463</v>
      </c>
      <c r="C46" s="194" t="s">
        <v>464</v>
      </c>
      <c r="D46" s="194" t="s">
        <v>188</v>
      </c>
    </row>
    <row r="47" spans="1:4" ht="39.75" customHeight="1" x14ac:dyDescent="0.25">
      <c r="A47" s="198">
        <v>36</v>
      </c>
      <c r="B47" s="198" t="s">
        <v>465</v>
      </c>
      <c r="C47" s="194" t="s">
        <v>437</v>
      </c>
      <c r="D47" s="194" t="s">
        <v>437</v>
      </c>
    </row>
    <row r="48" spans="1:4" x14ac:dyDescent="0.25">
      <c r="A48" s="198">
        <v>37</v>
      </c>
      <c r="B48" s="198" t="s">
        <v>466</v>
      </c>
      <c r="C48" s="194" t="s">
        <v>448</v>
      </c>
      <c r="D48" s="194" t="s">
        <v>448</v>
      </c>
    </row>
    <row r="49" spans="1:2" ht="15" customHeight="1" x14ac:dyDescent="0.25">
      <c r="A49" s="435" t="s">
        <v>467</v>
      </c>
      <c r="B49" s="436"/>
    </row>
    <row r="50" spans="1:2" x14ac:dyDescent="0.25">
      <c r="A50" s="286"/>
      <c r="B50" s="286"/>
    </row>
    <row r="51" spans="1:2" x14ac:dyDescent="0.25">
      <c r="A51" s="286"/>
      <c r="B51" s="286"/>
    </row>
    <row r="52" spans="1:2" x14ac:dyDescent="0.25">
      <c r="A52" s="286"/>
      <c r="B52" s="286"/>
    </row>
    <row r="53" spans="1:2" x14ac:dyDescent="0.25">
      <c r="A53" s="286"/>
      <c r="B53" s="286"/>
    </row>
    <row r="54" spans="1:2" x14ac:dyDescent="0.25">
      <c r="A54" s="286"/>
      <c r="B54" s="286"/>
    </row>
  </sheetData>
  <mergeCells count="1">
    <mergeCell ref="A49:B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X21"/>
  <sheetViews>
    <sheetView workbookViewId="0">
      <pane xSplit="1" topLeftCell="AH1" activePane="topRight" state="frozen"/>
      <selection pane="topRight" activeCell="AJ28" sqref="AJ28"/>
    </sheetView>
  </sheetViews>
  <sheetFormatPr defaultColWidth="11.42578125" defaultRowHeight="15" x14ac:dyDescent="0.25"/>
  <cols>
    <col min="1" max="1" width="53.7109375" style="154" customWidth="1"/>
    <col min="2" max="2" width="12.7109375" style="154" customWidth="1"/>
    <col min="3" max="3" width="12.7109375" style="133" customWidth="1"/>
    <col min="4" max="4" width="12.7109375" style="154" customWidth="1"/>
    <col min="5" max="5" width="10" style="154" bestFit="1" customWidth="1"/>
    <col min="6" max="6" width="2.7109375" style="250" customWidth="1"/>
    <col min="7" max="7" width="9.140625" style="285" customWidth="1"/>
    <col min="8" max="9" width="9.140625" style="154" customWidth="1"/>
    <col min="10" max="10" width="17.140625" style="154" customWidth="1"/>
    <col min="11" max="11" width="2.7109375" style="154" customWidth="1"/>
    <col min="12" max="14" width="9.140625" style="154" customWidth="1"/>
    <col min="15" max="15" width="16.85546875" style="154" customWidth="1"/>
    <col min="16" max="16" width="2.7109375" style="154" customWidth="1"/>
    <col min="17" max="19" width="9.140625" style="154" customWidth="1"/>
    <col min="20" max="20" width="11.42578125" style="154" customWidth="1"/>
    <col min="21" max="24" width="9.140625" style="154" customWidth="1"/>
    <col min="25" max="25" width="12" style="154" customWidth="1"/>
    <col min="26" max="29" width="9.140625" style="154" customWidth="1"/>
    <col min="30" max="30" width="10.5703125" style="154" customWidth="1"/>
    <col min="31" max="34" width="9.140625" style="154" customWidth="1"/>
    <col min="35" max="35" width="11.42578125" style="154" customWidth="1"/>
    <col min="36" max="253" width="9.140625" style="154" customWidth="1"/>
    <col min="254" max="16384" width="11.42578125" style="154"/>
  </cols>
  <sheetData>
    <row r="1" spans="1:50" x14ac:dyDescent="0.25">
      <c r="A1" s="133"/>
    </row>
    <row r="2" spans="1:50" s="153" customFormat="1" ht="6" customHeight="1" x14ac:dyDescent="0.2">
      <c r="F2" s="283"/>
    </row>
    <row r="3" spans="1:50" s="153" customFormat="1" ht="6" customHeight="1" x14ac:dyDescent="0.2">
      <c r="F3" s="283"/>
    </row>
    <row r="4" spans="1:50" ht="18" x14ac:dyDescent="0.25">
      <c r="A4" s="136" t="s">
        <v>529</v>
      </c>
      <c r="G4" s="133"/>
      <c r="H4" s="133"/>
      <c r="I4" s="133"/>
      <c r="J4" s="133"/>
    </row>
    <row r="5" spans="1:50" ht="18" x14ac:dyDescent="0.25">
      <c r="A5" s="136"/>
      <c r="G5" s="133"/>
      <c r="H5" s="133"/>
      <c r="I5" s="133"/>
      <c r="J5" s="133"/>
    </row>
    <row r="6" spans="1:50" x14ac:dyDescent="0.25">
      <c r="A6" s="420"/>
      <c r="B6" s="437">
        <v>43830</v>
      </c>
      <c r="C6" s="438"/>
      <c r="D6" s="438"/>
      <c r="E6" s="439"/>
      <c r="F6" s="422"/>
      <c r="G6" s="437">
        <v>43921</v>
      </c>
      <c r="H6" s="438"/>
      <c r="I6" s="438"/>
      <c r="J6" s="439"/>
      <c r="L6" s="437">
        <v>44012</v>
      </c>
      <c r="M6" s="438"/>
      <c r="N6" s="438"/>
      <c r="O6" s="439"/>
      <c r="Q6" s="437">
        <v>44104</v>
      </c>
      <c r="R6" s="438"/>
      <c r="S6" s="438"/>
      <c r="T6" s="439"/>
      <c r="V6" s="437">
        <v>44196</v>
      </c>
      <c r="W6" s="438"/>
      <c r="X6" s="438"/>
      <c r="Y6" s="439"/>
      <c r="AA6" s="437">
        <v>44286</v>
      </c>
      <c r="AB6" s="438"/>
      <c r="AC6" s="438"/>
      <c r="AD6" s="439"/>
      <c r="AF6" s="437">
        <v>44377</v>
      </c>
      <c r="AG6" s="438"/>
      <c r="AH6" s="438"/>
      <c r="AI6" s="439"/>
      <c r="AK6" s="437">
        <v>44469</v>
      </c>
      <c r="AL6" s="438"/>
      <c r="AM6" s="438"/>
      <c r="AN6" s="439"/>
      <c r="AP6" s="437">
        <v>44561</v>
      </c>
      <c r="AQ6" s="438"/>
      <c r="AR6" s="438"/>
      <c r="AS6" s="439"/>
      <c r="AU6" s="437">
        <v>44651</v>
      </c>
      <c r="AV6" s="438"/>
      <c r="AW6" s="438"/>
      <c r="AX6" s="439"/>
    </row>
    <row r="7" spans="1:50" ht="33.75" x14ac:dyDescent="0.25">
      <c r="A7" s="263" t="s">
        <v>22</v>
      </c>
      <c r="B7" s="264" t="s">
        <v>468</v>
      </c>
      <c r="C7" s="265" t="s">
        <v>469</v>
      </c>
      <c r="D7" s="265" t="s">
        <v>470</v>
      </c>
      <c r="E7" s="266" t="s">
        <v>123</v>
      </c>
      <c r="F7" s="423"/>
      <c r="G7" s="264" t="s">
        <v>468</v>
      </c>
      <c r="H7" s="265" t="s">
        <v>469</v>
      </c>
      <c r="I7" s="265" t="s">
        <v>470</v>
      </c>
      <c r="J7" s="266" t="s">
        <v>123</v>
      </c>
      <c r="L7" s="264" t="s">
        <v>468</v>
      </c>
      <c r="M7" s="265" t="s">
        <v>469</v>
      </c>
      <c r="N7" s="265" t="s">
        <v>470</v>
      </c>
      <c r="O7" s="266" t="s">
        <v>123</v>
      </c>
      <c r="Q7" s="264" t="s">
        <v>468</v>
      </c>
      <c r="R7" s="265" t="s">
        <v>469</v>
      </c>
      <c r="S7" s="265" t="s">
        <v>470</v>
      </c>
      <c r="T7" s="266" t="s">
        <v>123</v>
      </c>
      <c r="V7" s="264" t="s">
        <v>468</v>
      </c>
      <c r="W7" s="265" t="s">
        <v>469</v>
      </c>
      <c r="X7" s="265" t="s">
        <v>470</v>
      </c>
      <c r="Y7" s="266" t="s">
        <v>123</v>
      </c>
      <c r="AA7" s="264" t="s">
        <v>468</v>
      </c>
      <c r="AB7" s="265" t="s">
        <v>469</v>
      </c>
      <c r="AC7" s="265" t="s">
        <v>470</v>
      </c>
      <c r="AD7" s="266" t="s">
        <v>123</v>
      </c>
      <c r="AF7" s="264" t="s">
        <v>468</v>
      </c>
      <c r="AG7" s="265" t="s">
        <v>469</v>
      </c>
      <c r="AH7" s="265" t="s">
        <v>470</v>
      </c>
      <c r="AI7" s="266" t="s">
        <v>123</v>
      </c>
      <c r="AK7" s="264" t="s">
        <v>468</v>
      </c>
      <c r="AL7" s="265" t="s">
        <v>469</v>
      </c>
      <c r="AM7" s="265" t="s">
        <v>470</v>
      </c>
      <c r="AN7" s="266" t="s">
        <v>123</v>
      </c>
      <c r="AP7" s="264" t="s">
        <v>468</v>
      </c>
      <c r="AQ7" s="265" t="s">
        <v>469</v>
      </c>
      <c r="AR7" s="265" t="s">
        <v>470</v>
      </c>
      <c r="AS7" s="266" t="s">
        <v>123</v>
      </c>
      <c r="AU7" s="264" t="s">
        <v>468</v>
      </c>
      <c r="AV7" s="265" t="s">
        <v>469</v>
      </c>
      <c r="AW7" s="265" t="s">
        <v>470</v>
      </c>
      <c r="AX7" s="266" t="s">
        <v>123</v>
      </c>
    </row>
    <row r="8" spans="1:50" x14ac:dyDescent="0.25">
      <c r="A8" s="141" t="s">
        <v>530</v>
      </c>
      <c r="B8" s="187"/>
      <c r="C8" s="203"/>
      <c r="D8" s="187"/>
      <c r="E8" s="187"/>
      <c r="F8" s="424"/>
      <c r="G8" s="186"/>
      <c r="H8" s="203"/>
      <c r="I8" s="187"/>
      <c r="J8" s="187"/>
      <c r="L8" s="186"/>
      <c r="M8" s="203"/>
      <c r="N8" s="187"/>
      <c r="O8" s="187"/>
      <c r="Q8" s="186"/>
      <c r="R8" s="203"/>
      <c r="S8" s="187"/>
      <c r="T8" s="187"/>
      <c r="V8" s="186"/>
      <c r="W8" s="203"/>
      <c r="X8" s="187"/>
      <c r="Y8" s="187"/>
      <c r="AA8" s="186"/>
      <c r="AB8" s="203"/>
      <c r="AC8" s="187"/>
      <c r="AD8" s="187"/>
      <c r="AF8" s="186"/>
      <c r="AG8" s="203"/>
      <c r="AH8" s="187"/>
      <c r="AI8" s="187"/>
      <c r="AK8" s="186"/>
      <c r="AL8" s="203"/>
      <c r="AM8" s="187"/>
      <c r="AN8" s="187"/>
      <c r="AP8" s="186"/>
      <c r="AQ8" s="203"/>
      <c r="AR8" s="187"/>
      <c r="AS8" s="187"/>
      <c r="AU8" s="186"/>
      <c r="AV8" s="203"/>
      <c r="AW8" s="187"/>
      <c r="AX8" s="187"/>
    </row>
    <row r="9" spans="1:50" x14ac:dyDescent="0.25">
      <c r="A9" s="284" t="s">
        <v>594</v>
      </c>
      <c r="B9" s="186">
        <v>614.66767404999541</v>
      </c>
      <c r="C9" s="202">
        <v>0.2</v>
      </c>
      <c r="D9" s="186">
        <v>122.93353480999909</v>
      </c>
      <c r="E9" s="186">
        <v>9.8346827847999272</v>
      </c>
      <c r="F9" s="425"/>
      <c r="G9" s="186">
        <v>666.07197044000361</v>
      </c>
      <c r="H9" s="202">
        <v>0.2</v>
      </c>
      <c r="I9" s="186">
        <v>133.21439408800072</v>
      </c>
      <c r="J9" s="186">
        <v>10.657151527040057</v>
      </c>
      <c r="L9" s="186">
        <v>1292.0612479799993</v>
      </c>
      <c r="M9" s="202">
        <v>0.2</v>
      </c>
      <c r="N9" s="186">
        <v>258.41224959599987</v>
      </c>
      <c r="O9" s="186">
        <v>20.672979967679989</v>
      </c>
      <c r="Q9" s="186">
        <v>1466.8256898499976</v>
      </c>
      <c r="R9" s="202">
        <v>0.2</v>
      </c>
      <c r="S9" s="186">
        <v>293.36513796999952</v>
      </c>
      <c r="T9" s="186">
        <v>23.469211037599962</v>
      </c>
      <c r="V9" s="186">
        <f>X9/W9</f>
        <v>1204.1884715799983</v>
      </c>
      <c r="W9" s="202">
        <v>0.2</v>
      </c>
      <c r="X9" s="186">
        <v>240.83769431599967</v>
      </c>
      <c r="Y9" s="186">
        <f>X9*0.08</f>
        <v>19.267015545279975</v>
      </c>
      <c r="AA9" s="186">
        <f>AC9/AB9</f>
        <v>1141.7213592400049</v>
      </c>
      <c r="AB9" s="202">
        <v>0.2</v>
      </c>
      <c r="AC9" s="186">
        <f>228344.271848001/1000</f>
        <v>228.344271848001</v>
      </c>
      <c r="AD9" s="186">
        <f>AC9*0.08</f>
        <v>18.267541747840081</v>
      </c>
      <c r="AF9" s="186">
        <f>AH9/AG9</f>
        <v>1000</v>
      </c>
      <c r="AG9" s="202">
        <v>0.2</v>
      </c>
      <c r="AH9" s="186">
        <v>200</v>
      </c>
      <c r="AI9" s="186">
        <f>AH9*0.08</f>
        <v>16</v>
      </c>
      <c r="AK9" s="186">
        <f>AM9/AL9</f>
        <v>885.5458055499987</v>
      </c>
      <c r="AL9" s="202">
        <v>0.2</v>
      </c>
      <c r="AM9" s="186">
        <f>'1'!I7</f>
        <v>177.10916110999975</v>
      </c>
      <c r="AN9" s="186">
        <f>AM9*0.08</f>
        <v>14.16873288879998</v>
      </c>
      <c r="AP9" s="186">
        <f>AR9/AQ9</f>
        <v>1301.8097159700023</v>
      </c>
      <c r="AQ9" s="202">
        <v>0.2</v>
      </c>
      <c r="AR9" s="186">
        <f>'1'!J7</f>
        <v>260.3619431940005</v>
      </c>
      <c r="AS9" s="186">
        <f>AR9*0.08</f>
        <v>20.828955455520042</v>
      </c>
      <c r="AU9" s="186">
        <f>AW9/AV9</f>
        <v>1516.9616272900055</v>
      </c>
      <c r="AV9" s="202">
        <v>0.2</v>
      </c>
      <c r="AW9" s="186">
        <f>'1'!K7</f>
        <v>303.3923254580011</v>
      </c>
      <c r="AX9" s="186">
        <f>AW9*0.08</f>
        <v>24.271386036640088</v>
      </c>
    </row>
    <row r="10" spans="1:50" x14ac:dyDescent="0.25">
      <c r="A10" s="284" t="s">
        <v>599</v>
      </c>
      <c r="B10" s="186">
        <v>7780.9580981427553</v>
      </c>
      <c r="C10" s="202">
        <v>0.75</v>
      </c>
      <c r="D10" s="186">
        <v>5835.718573607066</v>
      </c>
      <c r="E10" s="186">
        <v>466.85748588856529</v>
      </c>
      <c r="F10" s="425"/>
      <c r="G10" s="186">
        <v>7861.6518015612655</v>
      </c>
      <c r="H10" s="202">
        <v>0.75</v>
      </c>
      <c r="I10" s="186">
        <v>5896.2388511709487</v>
      </c>
      <c r="J10" s="186">
        <v>471.69910809367593</v>
      </c>
      <c r="L10" s="186">
        <v>7331.6581203197429</v>
      </c>
      <c r="M10" s="202">
        <v>0.75</v>
      </c>
      <c r="N10" s="186">
        <v>5498.7435902398074</v>
      </c>
      <c r="O10" s="186">
        <v>439.89948721918461</v>
      </c>
      <c r="Q10" s="186">
        <v>7267.3137842990809</v>
      </c>
      <c r="R10" s="202">
        <v>0.75</v>
      </c>
      <c r="S10" s="186">
        <v>5450.4853382243109</v>
      </c>
      <c r="T10" s="186">
        <v>436.0388270579449</v>
      </c>
      <c r="V10" s="186">
        <f t="shared" ref="V10:V14" si="0">X10/W10</f>
        <v>7196.8397988926126</v>
      </c>
      <c r="W10" s="202">
        <v>0.75</v>
      </c>
      <c r="X10" s="186">
        <f>5397629.84916946/1000</f>
        <v>5397.6298491694597</v>
      </c>
      <c r="Y10" s="186">
        <f t="shared" ref="Y10:Y14" si="1">X10*0.08</f>
        <v>431.8103879335568</v>
      </c>
      <c r="AA10" s="186">
        <f t="shared" ref="AA10:AA14" si="2">AC10/AB10</f>
        <v>6720.8615469685865</v>
      </c>
      <c r="AB10" s="202">
        <v>0.75</v>
      </c>
      <c r="AC10" s="186">
        <f>5040646.16022644/1000</f>
        <v>5040.6461602264399</v>
      </c>
      <c r="AD10" s="186">
        <f t="shared" ref="AD10:AD14" si="3">AC10*0.08</f>
        <v>403.2516928181152</v>
      </c>
      <c r="AF10" s="186">
        <f t="shared" ref="AF10:AF14" si="4">AH10/AG10</f>
        <v>7078.7128195586129</v>
      </c>
      <c r="AG10" s="202">
        <v>0.75</v>
      </c>
      <c r="AH10" s="186">
        <v>5309.0346146689599</v>
      </c>
      <c r="AI10" s="186">
        <f t="shared" ref="AI10:AI14" si="5">AH10*0.08</f>
        <v>424.72276917351678</v>
      </c>
      <c r="AK10" s="186">
        <v>8551.8199826230411</v>
      </c>
      <c r="AL10" s="202">
        <v>0.75</v>
      </c>
      <c r="AM10" s="186">
        <v>6413.8649869672809</v>
      </c>
      <c r="AN10" s="186">
        <f t="shared" ref="AN10:AN14" si="6">AM10*0.08</f>
        <v>513.10919895738243</v>
      </c>
      <c r="AP10" s="186">
        <f t="shared" ref="AP10:AP14" si="7">AR10/AQ10</f>
        <v>6972.5637435913486</v>
      </c>
      <c r="AQ10" s="202">
        <v>0.75</v>
      </c>
      <c r="AR10" s="186">
        <f>'1'!J8</f>
        <v>5229.4228076935115</v>
      </c>
      <c r="AS10" s="186">
        <f t="shared" ref="AS10:AS14" si="8">AR10*0.08</f>
        <v>418.3538246154809</v>
      </c>
      <c r="AU10" s="186">
        <f t="shared" ref="AU10" si="9">AW10/AV10</f>
        <v>6808.6423778743183</v>
      </c>
      <c r="AV10" s="202">
        <v>0.75</v>
      </c>
      <c r="AW10" s="186">
        <f>'1'!K8</f>
        <v>5106.4817834057385</v>
      </c>
      <c r="AX10" s="186">
        <f t="shared" ref="AX10:AX14" si="10">AW10*0.08</f>
        <v>408.51854267245909</v>
      </c>
    </row>
    <row r="11" spans="1:50" x14ac:dyDescent="0.25">
      <c r="A11" s="284" t="s">
        <v>595</v>
      </c>
      <c r="B11" s="186">
        <v>90.778524160000032</v>
      </c>
      <c r="C11" s="202">
        <v>0.1</v>
      </c>
      <c r="D11" s="186">
        <v>9.0778524160000043</v>
      </c>
      <c r="E11" s="186">
        <v>0.72622819328000032</v>
      </c>
      <c r="F11" s="425"/>
      <c r="G11" s="186">
        <v>104.94127399999998</v>
      </c>
      <c r="H11" s="202">
        <v>0.1</v>
      </c>
      <c r="I11" s="186">
        <v>10.494127399999998</v>
      </c>
      <c r="J11" s="186">
        <v>0.8395301919999999</v>
      </c>
      <c r="L11" s="186">
        <v>301.89060099999989</v>
      </c>
      <c r="M11" s="202">
        <v>0.1</v>
      </c>
      <c r="N11" s="186">
        <v>30.189060099999992</v>
      </c>
      <c r="O11" s="186">
        <v>2.4151248079999994</v>
      </c>
      <c r="Q11" s="186">
        <f>2585201.63508/1000</f>
        <v>2585.20163508</v>
      </c>
      <c r="R11" s="202">
        <f>S11/Q11</f>
        <v>6.905004053290259E-2</v>
      </c>
      <c r="S11" s="186">
        <v>178.50827768800005</v>
      </c>
      <c r="T11" s="186">
        <v>14.280662215040005</v>
      </c>
      <c r="V11" s="186">
        <f>1848024.76605/1000</f>
        <v>1848.0247660499999</v>
      </c>
      <c r="W11" s="202">
        <f>X11/V11</f>
        <v>5.021472832604304E-2</v>
      </c>
      <c r="X11" s="186">
        <v>92.798061566999991</v>
      </c>
      <c r="Y11" s="186">
        <f t="shared" si="1"/>
        <v>7.4238449253599992</v>
      </c>
      <c r="AA11" s="186">
        <f>2287427.73183/1000</f>
        <v>2287.4277318300001</v>
      </c>
      <c r="AB11" s="202">
        <f>AC11/AA11</f>
        <v>3.9401668178996388E-2</v>
      </c>
      <c r="AC11" s="186">
        <f>90128.468473/1000</f>
        <v>90.128468472999998</v>
      </c>
      <c r="AD11" s="186">
        <f t="shared" si="3"/>
        <v>7.2102774778400001</v>
      </c>
      <c r="AF11" s="186">
        <f>2093519.81852/1000</f>
        <v>2093.5198185200002</v>
      </c>
      <c r="AG11" s="202">
        <f>AH11/AF11</f>
        <v>4.3051165637741952E-2</v>
      </c>
      <c r="AH11" s="186">
        <f>90128.468473/1000</f>
        <v>90.128468472999998</v>
      </c>
      <c r="AI11" s="186">
        <f t="shared" si="5"/>
        <v>7.2102774778400001</v>
      </c>
      <c r="AK11" s="186">
        <v>1291.2583030000001</v>
      </c>
      <c r="AL11" s="426">
        <v>4.6667263965697807E-2</v>
      </c>
      <c r="AM11" s="186">
        <v>60.259492074000008</v>
      </c>
      <c r="AN11" s="186">
        <f t="shared" si="6"/>
        <v>4.8207593659200008</v>
      </c>
      <c r="AP11" s="186">
        <f>882993.74776/1000</f>
        <v>882.99374776000002</v>
      </c>
      <c r="AQ11" s="426">
        <f>AR11/AP11</f>
        <v>4.5238472341773868E-2</v>
      </c>
      <c r="AR11" s="186">
        <v>39.94528823600001</v>
      </c>
      <c r="AS11" s="186">
        <f t="shared" si="8"/>
        <v>3.1956230588800008</v>
      </c>
      <c r="AU11" s="186">
        <f>882993.74776/1000</f>
        <v>882.99374776000002</v>
      </c>
      <c r="AV11" s="426">
        <f>AW11/AU11</f>
        <v>4.5238472341773868E-2</v>
      </c>
      <c r="AW11" s="186">
        <v>39.94528823600001</v>
      </c>
      <c r="AX11" s="186">
        <f t="shared" si="10"/>
        <v>3.1956230588800008</v>
      </c>
    </row>
    <row r="12" spans="1:50" x14ac:dyDescent="0.25">
      <c r="A12" s="284" t="s">
        <v>596</v>
      </c>
      <c r="B12" s="186">
        <v>884.55986672337633</v>
      </c>
      <c r="C12" s="202">
        <v>1</v>
      </c>
      <c r="D12" s="186">
        <v>884.55986672337633</v>
      </c>
      <c r="E12" s="186">
        <v>70.764789337870113</v>
      </c>
      <c r="F12" s="425"/>
      <c r="G12" s="186">
        <v>1082.8661975396581</v>
      </c>
      <c r="H12" s="202">
        <v>1</v>
      </c>
      <c r="I12" s="186">
        <v>1082.8661975396581</v>
      </c>
      <c r="J12" s="186">
        <v>86.629295803172653</v>
      </c>
      <c r="L12" s="186">
        <v>1164.8606085557865</v>
      </c>
      <c r="M12" s="202">
        <v>1</v>
      </c>
      <c r="N12" s="186">
        <v>1164.8606085557865</v>
      </c>
      <c r="O12" s="186">
        <v>93.188848684462926</v>
      </c>
      <c r="Q12" s="186">
        <v>1162.2488533198286</v>
      </c>
      <c r="R12" s="202">
        <v>1</v>
      </c>
      <c r="S12" s="186">
        <v>1162.2488533198286</v>
      </c>
      <c r="T12" s="186">
        <v>92.979908265586289</v>
      </c>
      <c r="V12" s="186">
        <f t="shared" si="0"/>
        <v>1323.7319421375898</v>
      </c>
      <c r="W12" s="202">
        <v>1</v>
      </c>
      <c r="X12" s="186">
        <f>1323731.94213759/1000</f>
        <v>1323.7319421375898</v>
      </c>
      <c r="Y12" s="186">
        <f t="shared" si="1"/>
        <v>105.89855537100719</v>
      </c>
      <c r="AA12" s="186">
        <f t="shared" si="2"/>
        <v>1415.30953326394</v>
      </c>
      <c r="AB12" s="202">
        <v>1</v>
      </c>
      <c r="AC12" s="186">
        <f>1415309.53326394/1000</f>
        <v>1415.30953326394</v>
      </c>
      <c r="AD12" s="186">
        <f t="shared" si="3"/>
        <v>113.22476266111521</v>
      </c>
      <c r="AF12" s="186">
        <f t="shared" si="4"/>
        <v>1374.71843776679</v>
      </c>
      <c r="AG12" s="202">
        <v>1</v>
      </c>
      <c r="AH12" s="186">
        <v>1374.71843776679</v>
      </c>
      <c r="AI12" s="186">
        <f t="shared" si="5"/>
        <v>109.9774750213432</v>
      </c>
      <c r="AK12" s="186">
        <f t="shared" ref="AK12:AK14" si="11">AM12/AL12</f>
        <v>1230.82001614656</v>
      </c>
      <c r="AL12" s="202">
        <v>1</v>
      </c>
      <c r="AM12" s="186">
        <f>'1'!I10</f>
        <v>1230.82001614656</v>
      </c>
      <c r="AN12" s="186">
        <f t="shared" si="6"/>
        <v>98.465601291724795</v>
      </c>
      <c r="AP12" s="186">
        <f t="shared" si="7"/>
        <v>529.71988979443154</v>
      </c>
      <c r="AQ12" s="202">
        <v>1</v>
      </c>
      <c r="AR12" s="186">
        <f>'1'!J10</f>
        <v>529.71988979443154</v>
      </c>
      <c r="AS12" s="186">
        <f t="shared" si="8"/>
        <v>42.377591183554522</v>
      </c>
      <c r="AU12" s="186">
        <f t="shared" ref="AU12:AU14" si="12">AW12/AV12</f>
        <v>430.66428904750114</v>
      </c>
      <c r="AV12" s="202">
        <v>1</v>
      </c>
      <c r="AW12" s="186">
        <f>'1'!K10</f>
        <v>430.66428904750114</v>
      </c>
      <c r="AX12" s="186">
        <f t="shared" si="10"/>
        <v>34.453143123800089</v>
      </c>
    </row>
    <row r="13" spans="1:50" x14ac:dyDescent="0.25">
      <c r="A13" s="284" t="s">
        <v>597</v>
      </c>
      <c r="B13" s="186">
        <v>24.533353926177544</v>
      </c>
      <c r="C13" s="202">
        <v>1.5</v>
      </c>
      <c r="D13" s="186">
        <v>36.800030889266317</v>
      </c>
      <c r="E13" s="186">
        <v>2.9440024711413053</v>
      </c>
      <c r="F13" s="425"/>
      <c r="G13" s="186">
        <v>66.067108971733447</v>
      </c>
      <c r="H13" s="202">
        <v>1.5</v>
      </c>
      <c r="I13" s="186">
        <v>99.100663457600177</v>
      </c>
      <c r="J13" s="186">
        <v>7.9280530766080144</v>
      </c>
      <c r="L13" s="186">
        <v>81.308250344443863</v>
      </c>
      <c r="M13" s="202">
        <v>1.5</v>
      </c>
      <c r="N13" s="186">
        <v>121.9623755166658</v>
      </c>
      <c r="O13" s="186">
        <v>9.756990041333264</v>
      </c>
      <c r="Q13" s="186">
        <v>87.846020459048532</v>
      </c>
      <c r="R13" s="202">
        <v>1.5</v>
      </c>
      <c r="S13" s="186">
        <v>131.7690306885728</v>
      </c>
      <c r="T13" s="186">
        <v>10.541522455085824</v>
      </c>
      <c r="V13" s="186">
        <f t="shared" si="0"/>
        <v>0</v>
      </c>
      <c r="W13" s="202">
        <v>1.5</v>
      </c>
      <c r="X13" s="154">
        <v>0</v>
      </c>
      <c r="Y13" s="186">
        <f t="shared" si="1"/>
        <v>0</v>
      </c>
      <c r="AA13" s="186">
        <f t="shared" si="2"/>
        <v>0</v>
      </c>
      <c r="AB13" s="202">
        <v>1.5</v>
      </c>
      <c r="AC13" s="154">
        <v>0</v>
      </c>
      <c r="AD13" s="186">
        <f t="shared" si="3"/>
        <v>0</v>
      </c>
      <c r="AF13" s="186">
        <f t="shared" si="4"/>
        <v>0</v>
      </c>
      <c r="AG13" s="202">
        <v>1.5</v>
      </c>
      <c r="AH13" s="154">
        <v>0</v>
      </c>
      <c r="AI13" s="186">
        <f t="shared" si="5"/>
        <v>0</v>
      </c>
      <c r="AK13" s="186">
        <f t="shared" si="11"/>
        <v>0</v>
      </c>
      <c r="AL13" s="202">
        <v>1.5</v>
      </c>
      <c r="AM13" s="154">
        <v>0</v>
      </c>
      <c r="AN13" s="186">
        <f t="shared" si="6"/>
        <v>0</v>
      </c>
      <c r="AP13" s="186">
        <f t="shared" si="7"/>
        <v>0</v>
      </c>
      <c r="AQ13" s="202">
        <v>1.5</v>
      </c>
      <c r="AR13" s="154">
        <v>0</v>
      </c>
      <c r="AS13" s="186">
        <f t="shared" si="8"/>
        <v>0</v>
      </c>
      <c r="AU13" s="186">
        <f t="shared" si="12"/>
        <v>0</v>
      </c>
      <c r="AV13" s="202">
        <v>1.5</v>
      </c>
      <c r="AW13" s="154">
        <v>0</v>
      </c>
      <c r="AX13" s="186">
        <f t="shared" si="10"/>
        <v>0</v>
      </c>
    </row>
    <row r="14" spans="1:50" x14ac:dyDescent="0.25">
      <c r="A14" s="284" t="s">
        <v>598</v>
      </c>
      <c r="B14" s="186">
        <v>36.155033840000002</v>
      </c>
      <c r="C14" s="202">
        <v>1</v>
      </c>
      <c r="D14" s="186">
        <v>36.155033840000002</v>
      </c>
      <c r="E14" s="186">
        <v>2.8924027072</v>
      </c>
      <c r="F14" s="425"/>
      <c r="G14" s="186">
        <v>33.366833320000005</v>
      </c>
      <c r="H14" s="202">
        <v>1</v>
      </c>
      <c r="I14" s="186">
        <v>33.366833320000005</v>
      </c>
      <c r="J14" s="186">
        <v>2.6693466656000004</v>
      </c>
      <c r="L14" s="186">
        <v>28.562787629999999</v>
      </c>
      <c r="M14" s="202">
        <v>1</v>
      </c>
      <c r="N14" s="186">
        <v>28.562787629999999</v>
      </c>
      <c r="O14" s="186">
        <v>2.2850230103999998</v>
      </c>
      <c r="Q14" s="186">
        <v>26.359653270000003</v>
      </c>
      <c r="R14" s="202">
        <v>1</v>
      </c>
      <c r="S14" s="186">
        <v>26.359653270000003</v>
      </c>
      <c r="T14" s="186">
        <v>2.1087722616000004</v>
      </c>
      <c r="V14" s="186">
        <f t="shared" si="0"/>
        <v>18.68129678</v>
      </c>
      <c r="W14" s="202">
        <v>1</v>
      </c>
      <c r="X14" s="186">
        <v>18.68129678</v>
      </c>
      <c r="Y14" s="186">
        <f t="shared" si="1"/>
        <v>1.4945037424000001</v>
      </c>
      <c r="AA14" s="186">
        <f t="shared" si="2"/>
        <v>22.1657899</v>
      </c>
      <c r="AB14" s="202">
        <v>1</v>
      </c>
      <c r="AC14" s="186">
        <f>22165.7899/1000</f>
        <v>22.1657899</v>
      </c>
      <c r="AD14" s="186">
        <f t="shared" si="3"/>
        <v>1.7732631919999999</v>
      </c>
      <c r="AF14" s="186">
        <f t="shared" si="4"/>
        <v>31.3</v>
      </c>
      <c r="AG14" s="202">
        <v>1</v>
      </c>
      <c r="AH14" s="186">
        <v>31.3</v>
      </c>
      <c r="AI14" s="186">
        <f t="shared" si="5"/>
        <v>2.504</v>
      </c>
      <c r="AK14" s="186">
        <f t="shared" si="11"/>
        <v>31.3</v>
      </c>
      <c r="AL14" s="202">
        <v>1</v>
      </c>
      <c r="AM14" s="186">
        <f>'1'!H12</f>
        <v>31.3</v>
      </c>
      <c r="AN14" s="186">
        <f t="shared" si="6"/>
        <v>2.504</v>
      </c>
      <c r="AP14" s="186">
        <f t="shared" si="7"/>
        <v>295.90173419000007</v>
      </c>
      <c r="AQ14" s="202">
        <v>1</v>
      </c>
      <c r="AR14" s="186">
        <f>'1'!J12</f>
        <v>295.90173419000007</v>
      </c>
      <c r="AS14" s="186">
        <f t="shared" si="8"/>
        <v>23.672138735200004</v>
      </c>
      <c r="AU14" s="186">
        <f t="shared" si="12"/>
        <v>28.760434369999995</v>
      </c>
      <c r="AV14" s="202">
        <v>1</v>
      </c>
      <c r="AW14" s="186">
        <f>'1'!K12</f>
        <v>28.760434369999995</v>
      </c>
      <c r="AX14" s="186">
        <f t="shared" si="10"/>
        <v>2.3008347495999995</v>
      </c>
    </row>
    <row r="15" spans="1:50" x14ac:dyDescent="0.25">
      <c r="A15" s="141" t="s">
        <v>531</v>
      </c>
      <c r="B15" s="187"/>
      <c r="C15" s="203"/>
      <c r="D15" s="187"/>
      <c r="E15" s="187"/>
      <c r="F15" s="424"/>
      <c r="G15" s="186"/>
      <c r="H15" s="203"/>
      <c r="I15" s="187"/>
      <c r="J15" s="187"/>
      <c r="L15" s="186"/>
      <c r="M15" s="203"/>
      <c r="N15" s="187"/>
      <c r="O15" s="187"/>
      <c r="Q15" s="186"/>
      <c r="R15" s="203"/>
      <c r="S15" s="187"/>
      <c r="T15" s="187"/>
      <c r="V15" s="186"/>
      <c r="W15" s="203"/>
      <c r="X15" s="187"/>
      <c r="Y15" s="187"/>
      <c r="AA15" s="186"/>
      <c r="AB15" s="203"/>
      <c r="AC15" s="187"/>
      <c r="AD15" s="187"/>
      <c r="AF15" s="186"/>
      <c r="AG15" s="203"/>
      <c r="AH15" s="187"/>
      <c r="AI15" s="187"/>
      <c r="AK15" s="186"/>
      <c r="AL15" s="203"/>
      <c r="AM15" s="187"/>
      <c r="AN15" s="187"/>
      <c r="AP15" s="186"/>
      <c r="AQ15" s="203"/>
      <c r="AR15" s="187"/>
      <c r="AS15" s="187"/>
      <c r="AU15" s="186"/>
      <c r="AV15" s="203"/>
      <c r="AW15" s="187"/>
      <c r="AX15" s="187"/>
    </row>
    <row r="16" spans="1:50" x14ac:dyDescent="0.25">
      <c r="A16" s="141" t="s">
        <v>171</v>
      </c>
      <c r="B16" s="187"/>
      <c r="C16" s="203"/>
      <c r="D16" s="187"/>
      <c r="E16" s="187"/>
      <c r="F16" s="424"/>
      <c r="G16" s="186"/>
      <c r="H16" s="203"/>
      <c r="I16" s="187"/>
      <c r="J16" s="187"/>
      <c r="L16" s="186"/>
      <c r="M16" s="203"/>
      <c r="N16" s="187"/>
      <c r="O16" s="187"/>
      <c r="Q16" s="186"/>
      <c r="R16" s="203"/>
      <c r="S16" s="187"/>
      <c r="T16" s="187"/>
      <c r="V16" s="186"/>
      <c r="W16" s="203"/>
      <c r="X16" s="187"/>
      <c r="Y16" s="187"/>
      <c r="AA16" s="186"/>
      <c r="AB16" s="203"/>
      <c r="AC16" s="187"/>
      <c r="AD16" s="187"/>
      <c r="AF16" s="186"/>
      <c r="AG16" s="203"/>
      <c r="AH16" s="187"/>
      <c r="AI16" s="187"/>
      <c r="AK16" s="186"/>
      <c r="AL16" s="203"/>
      <c r="AM16" s="187"/>
      <c r="AN16" s="187"/>
      <c r="AP16" s="186"/>
      <c r="AQ16" s="203"/>
      <c r="AR16" s="187"/>
      <c r="AS16" s="187"/>
      <c r="AU16" s="186"/>
      <c r="AV16" s="203"/>
      <c r="AW16" s="187"/>
      <c r="AX16" s="187"/>
    </row>
    <row r="17" spans="1:50" x14ac:dyDescent="0.25">
      <c r="A17" s="141" t="s">
        <v>533</v>
      </c>
      <c r="B17" s="187"/>
      <c r="C17" s="203"/>
      <c r="D17" s="186">
        <v>1822.6166284750002</v>
      </c>
      <c r="E17" s="186">
        <v>145.80933027800003</v>
      </c>
      <c r="F17" s="424"/>
      <c r="G17" s="186"/>
      <c r="H17" s="203"/>
      <c r="I17" s="186">
        <v>1822.6166284750002</v>
      </c>
      <c r="J17" s="186">
        <v>145.80933027800003</v>
      </c>
      <c r="L17" s="186"/>
      <c r="M17" s="203"/>
      <c r="N17" s="186">
        <v>1822.6166284750002</v>
      </c>
      <c r="O17" s="186">
        <v>145.80933027800003</v>
      </c>
      <c r="Q17" s="186"/>
      <c r="R17" s="203"/>
      <c r="S17" s="186">
        <v>1822.6166284750002</v>
      </c>
      <c r="T17" s="186">
        <v>145.80933027800003</v>
      </c>
      <c r="V17" s="186"/>
      <c r="W17" s="203"/>
      <c r="X17" s="186">
        <f>1653660.91614/1000</f>
        <v>1653.6609161400002</v>
      </c>
      <c r="Y17" s="186">
        <f t="shared" ref="Y17" si="13">X17*0.08</f>
        <v>132.29287329120001</v>
      </c>
      <c r="AA17" s="186"/>
      <c r="AB17" s="203"/>
      <c r="AC17" s="186">
        <f>1653660.91614/1000</f>
        <v>1653.6609161400002</v>
      </c>
      <c r="AD17" s="186">
        <f t="shared" ref="AD17" si="14">AC17*0.08</f>
        <v>132.29287329120001</v>
      </c>
      <c r="AF17" s="186"/>
      <c r="AG17" s="203"/>
      <c r="AH17" s="186">
        <f>1653660.91614/1000</f>
        <v>1653.6609161400002</v>
      </c>
      <c r="AI17" s="186">
        <f t="shared" ref="AI17" si="15">AH17*0.08</f>
        <v>132.29287329120001</v>
      </c>
      <c r="AK17" s="186"/>
      <c r="AL17" s="203"/>
      <c r="AM17" s="186">
        <f>1653660.91614/1000</f>
        <v>1653.6609161400002</v>
      </c>
      <c r="AN17" s="186">
        <f t="shared" ref="AN17" si="16">AM17*0.08</f>
        <v>132.29287329120001</v>
      </c>
      <c r="AP17" s="186"/>
      <c r="AQ17" s="203"/>
      <c r="AR17" s="186">
        <f>'1'!J14</f>
        <v>1576.1633099749999</v>
      </c>
      <c r="AS17" s="186">
        <f t="shared" ref="AS17" si="17">AR17*0.08</f>
        <v>126.093064798</v>
      </c>
      <c r="AU17" s="186"/>
      <c r="AV17" s="203"/>
      <c r="AW17" s="186">
        <f>'1'!O14</f>
        <v>0</v>
      </c>
      <c r="AX17" s="186">
        <f t="shared" ref="AX17" si="18">AW17*0.08</f>
        <v>0</v>
      </c>
    </row>
    <row r="18" spans="1:50" x14ac:dyDescent="0.25">
      <c r="A18" s="141" t="s">
        <v>472</v>
      </c>
      <c r="B18" s="187"/>
      <c r="C18" s="203"/>
      <c r="D18" s="187"/>
      <c r="E18" s="187"/>
      <c r="F18" s="424"/>
      <c r="G18" s="186"/>
      <c r="H18" s="203"/>
      <c r="I18" s="187"/>
      <c r="J18" s="187"/>
      <c r="L18" s="186"/>
      <c r="M18" s="203"/>
      <c r="N18" s="187"/>
      <c r="O18" s="187"/>
      <c r="Q18" s="186"/>
      <c r="R18" s="203"/>
      <c r="S18" s="187"/>
      <c r="T18" s="187"/>
      <c r="V18" s="186"/>
      <c r="W18" s="203"/>
      <c r="X18" s="187"/>
      <c r="Y18" s="187"/>
      <c r="AA18" s="186"/>
      <c r="AB18" s="203"/>
      <c r="AC18" s="187"/>
      <c r="AD18" s="187"/>
      <c r="AF18" s="186"/>
      <c r="AG18" s="203"/>
      <c r="AH18" s="187"/>
      <c r="AI18" s="187"/>
      <c r="AK18" s="186"/>
      <c r="AL18" s="203"/>
      <c r="AM18" s="187"/>
      <c r="AN18" s="187"/>
      <c r="AP18" s="186"/>
      <c r="AQ18" s="203"/>
      <c r="AR18" s="187"/>
      <c r="AS18" s="187"/>
      <c r="AU18" s="186"/>
      <c r="AV18" s="203"/>
      <c r="AW18" s="187"/>
      <c r="AX18" s="187"/>
    </row>
    <row r="19" spans="1:50" x14ac:dyDescent="0.25">
      <c r="A19" s="141" t="s">
        <v>532</v>
      </c>
      <c r="B19" s="187"/>
      <c r="C19" s="203"/>
      <c r="D19" s="187">
        <v>8747.8615207607072</v>
      </c>
      <c r="E19" s="187">
        <v>699.82892166085662</v>
      </c>
      <c r="F19" s="424"/>
      <c r="G19" s="186"/>
      <c r="H19" s="203"/>
      <c r="I19" s="187">
        <v>9077.8976954512091</v>
      </c>
      <c r="J19" s="187">
        <v>726.2318156360966</v>
      </c>
      <c r="L19" s="186"/>
      <c r="M19" s="203"/>
      <c r="N19" s="187">
        <v>8925.3473001132588</v>
      </c>
      <c r="O19" s="187">
        <v>714.02778400906072</v>
      </c>
      <c r="Q19" s="186"/>
      <c r="R19" s="203"/>
      <c r="S19" s="187">
        <f>W23+SUM(S9:S14)</f>
        <v>7242.7362911607115</v>
      </c>
      <c r="T19" s="187">
        <f>T17+SUM(T9:T14)</f>
        <v>725.22823357085701</v>
      </c>
      <c r="V19" s="186"/>
      <c r="W19" s="203"/>
      <c r="X19" s="187">
        <f>X17+SUM(X9:X14)</f>
        <v>8727.3397601100496</v>
      </c>
      <c r="Y19" s="186">
        <f t="shared" ref="Y19" si="19">X19*0.08</f>
        <v>698.18718080880399</v>
      </c>
      <c r="AA19" s="186"/>
      <c r="AB19" s="203"/>
      <c r="AC19" s="187">
        <f>AC17+SUM(AC9:AC14)</f>
        <v>8450.2551398513824</v>
      </c>
      <c r="AD19" s="186">
        <f t="shared" ref="AD19" si="20">AC19*0.08</f>
        <v>676.02041118811064</v>
      </c>
      <c r="AF19" s="186"/>
      <c r="AG19" s="203"/>
      <c r="AH19" s="187">
        <f>AH17+SUM(AH9:AH14)</f>
        <v>8658.8424370487501</v>
      </c>
      <c r="AI19" s="186">
        <f t="shared" ref="AI19" si="21">AH19*0.08</f>
        <v>692.70739496390001</v>
      </c>
      <c r="AK19" s="186"/>
      <c r="AL19" s="203"/>
      <c r="AM19" s="187">
        <f>AM17+SUM(AM9:AM14)</f>
        <v>9567.0145724378417</v>
      </c>
      <c r="AN19" s="186">
        <f t="shared" ref="AN19" si="22">AM19*0.08</f>
        <v>765.36116579502732</v>
      </c>
      <c r="AP19" s="186"/>
      <c r="AQ19" s="203"/>
      <c r="AR19" s="187">
        <f>AR17+SUM(AR9:AR14)</f>
        <v>7931.5149730829435</v>
      </c>
      <c r="AS19" s="186">
        <f t="shared" ref="AS19" si="23">AR19*0.08</f>
        <v>634.52119784663546</v>
      </c>
      <c r="AU19" s="186"/>
      <c r="AV19" s="203"/>
      <c r="AW19" s="187">
        <f>AW17+SUM(AW9:AW14)</f>
        <v>5909.2441205172418</v>
      </c>
      <c r="AX19" s="186">
        <f t="shared" ref="AX19" si="24">AW19*0.08</f>
        <v>472.73952964137936</v>
      </c>
    </row>
    <row r="20" spans="1:50" ht="18" x14ac:dyDescent="0.25">
      <c r="A20" s="136"/>
      <c r="G20" s="133"/>
      <c r="H20" s="133"/>
      <c r="I20" s="133"/>
      <c r="J20" s="133"/>
    </row>
    <row r="21" spans="1:50" ht="18" x14ac:dyDescent="0.25">
      <c r="A21" s="136"/>
      <c r="G21" s="133"/>
      <c r="H21" s="133"/>
      <c r="I21" s="133"/>
      <c r="J21" s="133"/>
    </row>
  </sheetData>
  <mergeCells count="10">
    <mergeCell ref="AU6:AX6"/>
    <mergeCell ref="AP6:AS6"/>
    <mergeCell ref="AK6:AN6"/>
    <mergeCell ref="AF6:AI6"/>
    <mergeCell ref="AA6:AD6"/>
    <mergeCell ref="B6:E6"/>
    <mergeCell ref="G6:J6"/>
    <mergeCell ref="L6:O6"/>
    <mergeCell ref="Q6:T6"/>
    <mergeCell ref="V6:Y6"/>
  </mergeCells>
  <pageMargins left="0.7" right="0.7" top="0.75" bottom="0.75" header="0.3" footer="0.3"/>
  <pageSetup paperSize="9" orientation="portrait" r:id="rId1"/>
  <ignoredErrors>
    <ignoredError sqref="V11:AA11 AF11 AP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4"/>
  <sheetViews>
    <sheetView workbookViewId="0">
      <selection activeCell="J42" sqref="J42"/>
    </sheetView>
  </sheetViews>
  <sheetFormatPr defaultColWidth="11.42578125" defaultRowHeight="15" x14ac:dyDescent="0.25"/>
  <cols>
    <col min="1" max="1" width="25.7109375" style="154" customWidth="1"/>
    <col min="2" max="2" width="26.28515625" style="154" customWidth="1"/>
    <col min="3" max="3" width="12.42578125" style="133" customWidth="1"/>
    <col min="4" max="4" width="12.28515625" style="154" customWidth="1"/>
    <col min="5" max="5" width="11.85546875" style="154" customWidth="1"/>
    <col min="6" max="6" width="12" style="154" customWidth="1"/>
    <col min="7" max="251" width="9.140625" style="154" customWidth="1"/>
    <col min="252" max="16384" width="11.42578125" style="154"/>
  </cols>
  <sheetData>
    <row r="1" spans="1:12" x14ac:dyDescent="0.25">
      <c r="A1" s="133"/>
    </row>
    <row r="2" spans="1:12" s="211" customFormat="1" ht="6" customHeight="1" x14ac:dyDescent="0.2"/>
    <row r="3" spans="1:12" ht="18" x14ac:dyDescent="0.25">
      <c r="A3" s="136" t="s">
        <v>472</v>
      </c>
    </row>
    <row r="4" spans="1:12" s="213" customFormat="1" ht="14.25" x14ac:dyDescent="0.2">
      <c r="A4" s="212"/>
      <c r="C4" s="133"/>
    </row>
    <row r="5" spans="1:12" s="215" customFormat="1" ht="12.75" x14ac:dyDescent="0.2">
      <c r="A5" s="214" t="s">
        <v>473</v>
      </c>
      <c r="C5" s="216"/>
    </row>
    <row r="6" spans="1:12" s="215" customFormat="1" ht="12.75" x14ac:dyDescent="0.2">
      <c r="A6" s="262" t="s">
        <v>525</v>
      </c>
      <c r="C6" s="216"/>
    </row>
    <row r="7" spans="1:12" s="215" customFormat="1" ht="12.75" x14ac:dyDescent="0.2">
      <c r="A7" s="262" t="s">
        <v>526</v>
      </c>
      <c r="C7" s="216"/>
    </row>
    <row r="8" spans="1:12" s="215" customFormat="1" ht="12.75" x14ac:dyDescent="0.2">
      <c r="A8" s="262" t="s">
        <v>527</v>
      </c>
      <c r="C8" s="216"/>
    </row>
    <row r="9" spans="1:12" s="215" customFormat="1" ht="11.25" x14ac:dyDescent="0.2">
      <c r="A9" s="217"/>
      <c r="B9" s="218"/>
      <c r="C9" s="218"/>
      <c r="D9" s="218"/>
      <c r="E9" s="218"/>
      <c r="F9" s="218"/>
      <c r="G9" s="218"/>
      <c r="H9" s="218"/>
      <c r="I9" s="218"/>
      <c r="J9" s="218"/>
      <c r="K9" s="218"/>
    </row>
    <row r="10" spans="1:12" ht="15" customHeight="1" x14ac:dyDescent="0.25">
      <c r="A10" s="287" t="s">
        <v>474</v>
      </c>
      <c r="B10" s="287"/>
      <c r="C10" s="294"/>
      <c r="D10" s="290"/>
      <c r="E10" s="290"/>
      <c r="F10" s="206"/>
      <c r="G10" s="206"/>
      <c r="H10" s="206"/>
      <c r="I10" s="206"/>
      <c r="J10" s="206"/>
      <c r="K10" s="206"/>
      <c r="L10" s="206"/>
    </row>
    <row r="11" spans="1:12" x14ac:dyDescent="0.25">
      <c r="A11" s="288" t="s">
        <v>22</v>
      </c>
      <c r="B11" s="289"/>
      <c r="C11" s="295">
        <v>44561</v>
      </c>
      <c r="D11" s="291"/>
      <c r="E11" s="291"/>
      <c r="F11" s="206"/>
      <c r="G11" s="206"/>
      <c r="H11" s="206"/>
      <c r="I11" s="206"/>
      <c r="J11" s="206"/>
      <c r="K11" s="206"/>
      <c r="L11" s="206"/>
    </row>
    <row r="12" spans="1:12" x14ac:dyDescent="0.25">
      <c r="A12" s="441" t="s">
        <v>475</v>
      </c>
      <c r="B12" s="442"/>
      <c r="C12" s="219">
        <f>1301.8+7397.8</f>
        <v>8699.6</v>
      </c>
      <c r="D12" s="292"/>
      <c r="E12" s="292"/>
      <c r="F12" s="206"/>
      <c r="G12" s="206"/>
      <c r="H12" s="206"/>
      <c r="I12" s="206"/>
      <c r="J12" s="206"/>
      <c r="K12" s="206"/>
      <c r="L12" s="206"/>
    </row>
    <row r="13" spans="1:12" x14ac:dyDescent="0.25">
      <c r="A13" s="441" t="s">
        <v>476</v>
      </c>
      <c r="B13" s="442"/>
      <c r="C13" s="219">
        <v>883</v>
      </c>
      <c r="D13" s="292"/>
      <c r="E13" s="292"/>
      <c r="F13" s="206"/>
      <c r="G13" s="206"/>
      <c r="H13" s="206"/>
      <c r="I13" s="206"/>
      <c r="J13" s="206"/>
      <c r="K13" s="206"/>
      <c r="L13" s="206"/>
    </row>
    <row r="14" spans="1:12" s="210" customFormat="1" x14ac:dyDescent="0.25">
      <c r="A14" s="445" t="s">
        <v>477</v>
      </c>
      <c r="B14" s="446"/>
      <c r="C14" s="220">
        <f>C12+C13</f>
        <v>9582.6</v>
      </c>
      <c r="D14" s="293"/>
      <c r="E14" s="293"/>
      <c r="F14" s="221"/>
      <c r="G14" s="221"/>
      <c r="H14" s="221"/>
      <c r="I14" s="221"/>
      <c r="J14" s="221"/>
      <c r="K14" s="221"/>
      <c r="L14" s="221"/>
    </row>
    <row r="15" spans="1:12" x14ac:dyDescent="0.25">
      <c r="A15" s="441" t="s">
        <v>478</v>
      </c>
      <c r="B15" s="442"/>
      <c r="C15" s="219">
        <f>7933.9</f>
        <v>7933.9</v>
      </c>
      <c r="D15" s="292"/>
      <c r="E15" s="292"/>
      <c r="F15" s="206"/>
      <c r="G15" s="206"/>
      <c r="H15" s="206"/>
      <c r="I15" s="206"/>
      <c r="J15" s="206"/>
      <c r="K15" s="206"/>
      <c r="L15" s="206"/>
    </row>
    <row r="16" spans="1:12" x14ac:dyDescent="0.25">
      <c r="A16" s="441" t="s">
        <v>476</v>
      </c>
      <c r="B16" s="442"/>
      <c r="C16" s="219">
        <v>65</v>
      </c>
      <c r="D16" s="292"/>
      <c r="E16" s="292"/>
      <c r="F16" s="206"/>
      <c r="G16" s="206"/>
      <c r="H16" s="206"/>
      <c r="I16" s="206"/>
      <c r="J16" s="206"/>
      <c r="K16" s="206"/>
      <c r="L16" s="206"/>
    </row>
    <row r="17" spans="1:12" s="210" customFormat="1" x14ac:dyDescent="0.25">
      <c r="A17" s="445" t="s">
        <v>479</v>
      </c>
      <c r="B17" s="446"/>
      <c r="C17" s="220">
        <f>C15+C16</f>
        <v>7998.9</v>
      </c>
      <c r="D17" s="293"/>
      <c r="E17" s="293"/>
      <c r="F17" s="221"/>
      <c r="G17" s="221"/>
      <c r="H17" s="221"/>
      <c r="I17" s="221"/>
      <c r="J17" s="221"/>
      <c r="K17" s="221"/>
      <c r="L17" s="221"/>
    </row>
    <row r="18" spans="1:12" s="210" customFormat="1" x14ac:dyDescent="0.25">
      <c r="A18" s="445" t="s">
        <v>30</v>
      </c>
      <c r="B18" s="446"/>
      <c r="C18" s="220">
        <f>C14-C17</f>
        <v>1583.7000000000007</v>
      </c>
      <c r="D18" s="293"/>
      <c r="E18" s="293"/>
      <c r="F18" s="221"/>
      <c r="G18" s="221"/>
      <c r="H18" s="221"/>
      <c r="I18" s="221"/>
      <c r="J18" s="221"/>
      <c r="K18" s="221"/>
      <c r="L18" s="221"/>
    </row>
    <row r="19" spans="1:12" s="210" customFormat="1" x14ac:dyDescent="0.25">
      <c r="A19" s="260"/>
      <c r="B19" s="260"/>
      <c r="C19" s="261"/>
      <c r="D19" s="261"/>
      <c r="E19" s="261"/>
      <c r="F19" s="221"/>
      <c r="G19" s="221"/>
      <c r="H19" s="221"/>
      <c r="I19" s="221"/>
      <c r="J19" s="221"/>
      <c r="K19" s="221"/>
      <c r="L19" s="221"/>
    </row>
    <row r="20" spans="1:12" x14ac:dyDescent="0.25">
      <c r="A20" s="222"/>
      <c r="B20" s="206"/>
      <c r="C20" s="207"/>
      <c r="D20" s="206"/>
      <c r="E20" s="206"/>
      <c r="F20" s="206"/>
      <c r="G20" s="206"/>
      <c r="H20" s="206"/>
      <c r="I20" s="206"/>
      <c r="J20" s="206"/>
      <c r="K20" s="206"/>
    </row>
    <row r="21" spans="1:12" ht="15" customHeight="1" x14ac:dyDescent="0.25">
      <c r="A21" s="440" t="s">
        <v>480</v>
      </c>
      <c r="B21" s="440"/>
      <c r="C21" s="440"/>
      <c r="D21" s="440"/>
      <c r="E21" s="440"/>
      <c r="F21" s="440"/>
      <c r="G21" s="440"/>
      <c r="H21" s="440"/>
      <c r="I21" s="206"/>
      <c r="J21" s="206"/>
      <c r="K21" s="206"/>
    </row>
    <row r="22" spans="1:12" ht="22.5" x14ac:dyDescent="0.25">
      <c r="A22" s="263" t="s">
        <v>22</v>
      </c>
      <c r="B22" s="275"/>
      <c r="C22" s="276" t="s">
        <v>481</v>
      </c>
      <c r="D22" s="276" t="s">
        <v>482</v>
      </c>
      <c r="E22" s="276" t="s">
        <v>600</v>
      </c>
      <c r="F22" s="276" t="s">
        <v>601</v>
      </c>
      <c r="G22" s="276" t="s">
        <v>483</v>
      </c>
      <c r="H22" s="275" t="s">
        <v>30</v>
      </c>
      <c r="I22" s="206"/>
      <c r="J22" s="206"/>
      <c r="K22" s="206"/>
    </row>
    <row r="23" spans="1:12" x14ac:dyDescent="0.25">
      <c r="A23" s="441" t="s">
        <v>695</v>
      </c>
      <c r="B23" s="442"/>
      <c r="C23" s="204">
        <f>0.5+12.3</f>
        <v>12.8</v>
      </c>
      <c r="D23" s="204"/>
      <c r="E23" s="204"/>
      <c r="F23" s="204"/>
      <c r="G23" s="204"/>
      <c r="H23" s="204">
        <f>C23</f>
        <v>12.8</v>
      </c>
      <c r="I23" s="206"/>
      <c r="J23" s="206"/>
      <c r="K23" s="206"/>
    </row>
    <row r="24" spans="1:12" x14ac:dyDescent="0.25">
      <c r="A24" s="222"/>
      <c r="B24" s="206"/>
      <c r="C24" s="207"/>
      <c r="D24" s="206"/>
      <c r="E24" s="206"/>
      <c r="F24" s="206"/>
      <c r="G24" s="206"/>
      <c r="H24" s="206"/>
      <c r="I24" s="206"/>
      <c r="J24" s="206"/>
      <c r="K24" s="206"/>
    </row>
    <row r="25" spans="1:12" x14ac:dyDescent="0.25">
      <c r="A25" s="222"/>
      <c r="B25" s="206"/>
      <c r="C25" s="207"/>
      <c r="D25" s="206"/>
      <c r="E25" s="206"/>
      <c r="F25" s="206"/>
      <c r="G25" s="296"/>
      <c r="H25" s="296"/>
      <c r="I25" s="296"/>
      <c r="J25" s="296"/>
      <c r="K25" s="296"/>
    </row>
    <row r="26" spans="1:12" x14ac:dyDescent="0.25">
      <c r="A26" s="214" t="s">
        <v>484</v>
      </c>
      <c r="B26" s="218"/>
      <c r="C26" s="218"/>
      <c r="D26" s="218"/>
      <c r="E26" s="218"/>
      <c r="F26" s="218"/>
      <c r="G26" s="297"/>
      <c r="H26" s="296"/>
      <c r="I26" s="296"/>
      <c r="J26" s="296"/>
      <c r="K26" s="296"/>
    </row>
    <row r="27" spans="1:12" x14ac:dyDescent="0.25">
      <c r="A27" s="217"/>
      <c r="B27" s="218"/>
      <c r="C27" s="218"/>
      <c r="D27" s="218"/>
      <c r="E27" s="218"/>
      <c r="F27" s="218"/>
      <c r="G27" s="297"/>
      <c r="H27" s="296"/>
      <c r="I27" s="296"/>
      <c r="J27" s="296"/>
      <c r="K27" s="296"/>
    </row>
    <row r="28" spans="1:12" x14ac:dyDescent="0.25">
      <c r="A28" s="277" t="s">
        <v>485</v>
      </c>
      <c r="B28" s="277"/>
      <c r="C28" s="277"/>
      <c r="D28" s="277"/>
      <c r="E28" s="277"/>
      <c r="F28" s="277"/>
      <c r="G28" s="298"/>
      <c r="H28" s="298"/>
      <c r="I28" s="298"/>
      <c r="J28" s="298">
        <v>1000</v>
      </c>
      <c r="K28" s="296"/>
    </row>
    <row r="29" spans="1:12" x14ac:dyDescent="0.25">
      <c r="A29" s="263" t="s">
        <v>486</v>
      </c>
      <c r="B29" s="275"/>
      <c r="C29" s="275" t="s">
        <v>487</v>
      </c>
      <c r="D29" s="275" t="s">
        <v>488</v>
      </c>
      <c r="E29" s="275" t="s">
        <v>489</v>
      </c>
      <c r="F29" s="275" t="s">
        <v>30</v>
      </c>
      <c r="G29" s="296"/>
      <c r="H29" s="3"/>
      <c r="I29" s="3"/>
      <c r="J29" s="3"/>
      <c r="K29" s="3"/>
    </row>
    <row r="30" spans="1:12" x14ac:dyDescent="0.25">
      <c r="A30" s="441" t="s">
        <v>696</v>
      </c>
      <c r="B30" s="442"/>
      <c r="C30" s="427">
        <v>0.182</v>
      </c>
      <c r="D30" s="427">
        <v>0.29599999999999999</v>
      </c>
      <c r="E30" s="204"/>
      <c r="F30" s="427">
        <f>D30+C30</f>
        <v>0.47799999999999998</v>
      </c>
      <c r="G30" s="296"/>
      <c r="H30" s="3"/>
      <c r="I30" s="3"/>
      <c r="J30" s="3"/>
      <c r="K30" s="3"/>
    </row>
    <row r="31" spans="1:12" s="224" customFormat="1" x14ac:dyDescent="0.25">
      <c r="A31" s="443" t="s">
        <v>490</v>
      </c>
      <c r="B31" s="444"/>
      <c r="C31" s="428">
        <f>C30*9.9888*1.05-C30*9.9888</f>
        <v>9.0898080000000103E-2</v>
      </c>
      <c r="D31" s="428">
        <f>D30*97.45/100*1.05-D30*97.45/100</f>
        <v>1.4422600000000008E-2</v>
      </c>
      <c r="E31" s="223"/>
      <c r="F31" s="427">
        <f>D31+C31</f>
        <v>0.10532068000000011</v>
      </c>
      <c r="G31" s="299"/>
      <c r="H31" s="300"/>
      <c r="I31" s="300"/>
      <c r="J31" s="300"/>
      <c r="K31" s="300"/>
    </row>
    <row r="32" spans="1:12" x14ac:dyDescent="0.25">
      <c r="A32" s="228"/>
      <c r="B32" s="228"/>
      <c r="C32" s="229"/>
      <c r="D32" s="230"/>
      <c r="E32" s="230"/>
      <c r="F32" s="206"/>
      <c r="G32" s="206"/>
      <c r="H32" s="206"/>
      <c r="I32" s="206"/>
      <c r="J32" s="206"/>
      <c r="K32" s="206"/>
    </row>
    <row r="33" spans="1:11" x14ac:dyDescent="0.25">
      <c r="A33" s="214" t="s">
        <v>524</v>
      </c>
      <c r="B33" s="228"/>
      <c r="C33" s="229"/>
      <c r="D33" s="230"/>
      <c r="E33" s="230"/>
      <c r="F33" s="206"/>
      <c r="G33" s="206"/>
      <c r="H33" s="206"/>
      <c r="I33" s="206"/>
      <c r="J33" s="206"/>
      <c r="K33" s="206"/>
    </row>
    <row r="34" spans="1:11" x14ac:dyDescent="0.25">
      <c r="A34" s="222"/>
      <c r="B34" s="206"/>
      <c r="C34" s="207"/>
      <c r="D34" s="206"/>
      <c r="E34" s="206"/>
      <c r="F34" s="206"/>
      <c r="G34" s="206"/>
      <c r="H34" s="206"/>
      <c r="I34" s="206"/>
      <c r="J34" s="206"/>
      <c r="K34" s="206"/>
    </row>
    <row r="35" spans="1:11" ht="15" customHeight="1" x14ac:dyDescent="0.25">
      <c r="A35" s="440" t="s">
        <v>697</v>
      </c>
      <c r="B35" s="440"/>
      <c r="C35" s="440"/>
      <c r="D35" s="440"/>
      <c r="E35" s="440"/>
      <c r="F35" s="440"/>
      <c r="G35" s="206"/>
      <c r="H35" s="206"/>
      <c r="I35" s="206"/>
      <c r="J35" s="206"/>
      <c r="K35" s="206"/>
    </row>
    <row r="36" spans="1:11" x14ac:dyDescent="0.25">
      <c r="A36" s="263" t="s">
        <v>22</v>
      </c>
      <c r="B36" s="273"/>
      <c r="C36" s="273" t="s">
        <v>492</v>
      </c>
      <c r="D36" s="273" t="s">
        <v>491</v>
      </c>
      <c r="E36" s="273" t="s">
        <v>493</v>
      </c>
      <c r="F36" s="273" t="s">
        <v>494</v>
      </c>
      <c r="G36" s="206"/>
      <c r="H36" s="206"/>
      <c r="I36" s="206"/>
      <c r="J36" s="206"/>
      <c r="K36" s="206"/>
    </row>
    <row r="37" spans="1:11" ht="15" customHeight="1" x14ac:dyDescent="0.25">
      <c r="A37" s="209" t="s">
        <v>471</v>
      </c>
      <c r="B37" s="225"/>
      <c r="C37" s="204">
        <f>('[3]Ny modell'!$Q$7+'[3]Ny modell'!$Q$11+'[3]Ny modell'!$Q$14)/1000000</f>
        <v>5.4053928937765878</v>
      </c>
      <c r="D37" s="204">
        <f>('[3]Ny modell'!$I$7+'[3]Ny modell'!$I$11+'[3]Ny modell'!$I$14)/1000000</f>
        <v>196.94294098</v>
      </c>
      <c r="E37" s="204">
        <f>('[3]Ny modell'!$J$7+'[3]Ny modell'!$J$11+'[3]Ny modell'!$J$14)/1000000</f>
        <v>199.05730261999997</v>
      </c>
      <c r="F37" s="231">
        <f>E37/E39</f>
        <v>0.22543295879954697</v>
      </c>
      <c r="G37" s="206"/>
      <c r="H37" s="206"/>
      <c r="I37" s="206"/>
      <c r="J37" s="206"/>
      <c r="K37" s="206"/>
    </row>
    <row r="38" spans="1:11" x14ac:dyDescent="0.25">
      <c r="A38" s="232" t="s">
        <v>495</v>
      </c>
      <c r="B38" s="225"/>
      <c r="C38" s="204">
        <v>0</v>
      </c>
      <c r="D38" s="204">
        <f>('[3]Ny modell'!$I$6+'[3]Ny modell'!$I$8+'[3]Ny modell'!$I$10+'[3]Ny modell'!$I$13)/1000000</f>
        <v>677.6150328299999</v>
      </c>
      <c r="E38" s="204">
        <f>C13-E37</f>
        <v>683.94269738000003</v>
      </c>
      <c r="F38" s="231">
        <f>1-F37</f>
        <v>0.77456704120045305</v>
      </c>
      <c r="G38" s="206"/>
      <c r="H38" s="206"/>
      <c r="I38" s="206"/>
      <c r="J38" s="206"/>
      <c r="K38" s="206"/>
    </row>
    <row r="39" spans="1:11" x14ac:dyDescent="0.25">
      <c r="A39" s="226" t="s">
        <v>496</v>
      </c>
      <c r="B39" s="227"/>
      <c r="C39" s="205">
        <f>SUM(C37:C38)</f>
        <v>5.4053928937765878</v>
      </c>
      <c r="D39" s="205">
        <f>SUM(D37:D38)</f>
        <v>874.55797380999991</v>
      </c>
      <c r="E39" s="205">
        <f>SUM(E37:E38)</f>
        <v>883</v>
      </c>
      <c r="F39" s="233">
        <v>1</v>
      </c>
      <c r="G39" s="206"/>
      <c r="H39" s="206"/>
      <c r="I39" s="206"/>
      <c r="J39" s="206"/>
      <c r="K39" s="206"/>
    </row>
    <row r="40" spans="1:11" x14ac:dyDescent="0.25">
      <c r="A40" s="206"/>
      <c r="B40" s="206"/>
      <c r="C40" s="207"/>
      <c r="D40" s="206"/>
      <c r="E40" s="206"/>
      <c r="F40" s="206"/>
      <c r="G40" s="206"/>
      <c r="H40" s="206"/>
      <c r="I40" s="206"/>
      <c r="J40" s="206"/>
      <c r="K40" s="206"/>
    </row>
    <row r="41" spans="1:11" x14ac:dyDescent="0.25">
      <c r="A41" s="206"/>
      <c r="B41" s="206"/>
      <c r="C41" s="207"/>
      <c r="D41" s="206"/>
      <c r="E41" s="206"/>
      <c r="F41" s="206"/>
      <c r="G41" s="206"/>
      <c r="H41" s="206"/>
      <c r="I41" s="206"/>
      <c r="J41" s="206"/>
      <c r="K41" s="206"/>
    </row>
    <row r="42" spans="1:11" x14ac:dyDescent="0.25">
      <c r="A42" s="206"/>
      <c r="B42" s="206"/>
      <c r="C42" s="207"/>
      <c r="D42" s="206"/>
      <c r="E42" s="206"/>
      <c r="F42" s="206"/>
      <c r="G42" s="206"/>
      <c r="H42" s="206"/>
      <c r="I42" s="206"/>
      <c r="J42" s="206"/>
      <c r="K42" s="206"/>
    </row>
    <row r="43" spans="1:11" x14ac:dyDescent="0.25">
      <c r="A43" s="206"/>
      <c r="B43" s="206"/>
      <c r="C43" s="207"/>
      <c r="D43" s="206"/>
      <c r="E43" s="206"/>
      <c r="F43" s="206"/>
      <c r="G43" s="206"/>
      <c r="H43" s="206"/>
      <c r="I43" s="206"/>
      <c r="J43" s="206"/>
      <c r="K43" s="206"/>
    </row>
    <row r="44" spans="1:11" x14ac:dyDescent="0.25">
      <c r="A44" s="206"/>
      <c r="B44" s="206"/>
      <c r="C44" s="207"/>
      <c r="D44" s="206"/>
      <c r="E44" s="206"/>
      <c r="F44" s="206"/>
      <c r="G44" s="206"/>
      <c r="H44" s="206"/>
      <c r="I44" s="206"/>
      <c r="J44" s="206"/>
      <c r="K44" s="206"/>
    </row>
    <row r="45" spans="1:11" x14ac:dyDescent="0.25">
      <c r="A45" s="206"/>
      <c r="B45" s="206"/>
      <c r="C45" s="207"/>
      <c r="D45" s="206"/>
      <c r="E45" s="206"/>
      <c r="F45" s="206"/>
      <c r="G45" s="206"/>
      <c r="H45" s="206"/>
      <c r="I45" s="206"/>
      <c r="J45" s="206"/>
      <c r="K45" s="206"/>
    </row>
    <row r="46" spans="1:11" x14ac:dyDescent="0.25">
      <c r="A46" s="206"/>
      <c r="B46" s="206"/>
      <c r="C46" s="207"/>
      <c r="D46" s="206"/>
      <c r="E46" s="206"/>
      <c r="F46" s="206"/>
      <c r="G46" s="206"/>
      <c r="H46" s="206"/>
      <c r="I46" s="206"/>
      <c r="J46" s="206"/>
      <c r="K46" s="206"/>
    </row>
    <row r="47" spans="1:11" x14ac:dyDescent="0.25">
      <c r="A47" s="206"/>
      <c r="B47" s="206"/>
      <c r="C47" s="207"/>
      <c r="D47" s="206"/>
      <c r="E47" s="206"/>
      <c r="F47" s="206"/>
      <c r="G47" s="206"/>
      <c r="H47" s="206"/>
      <c r="I47" s="206"/>
      <c r="J47" s="206"/>
      <c r="K47" s="206"/>
    </row>
    <row r="48" spans="1:11" x14ac:dyDescent="0.25">
      <c r="A48" s="206"/>
      <c r="B48" s="206"/>
      <c r="C48" s="207"/>
      <c r="D48" s="206"/>
      <c r="E48" s="206"/>
      <c r="F48" s="206"/>
      <c r="G48" s="206"/>
      <c r="H48" s="206"/>
      <c r="I48" s="206"/>
      <c r="J48" s="206"/>
      <c r="K48" s="206"/>
    </row>
    <row r="49" spans="1:11" x14ac:dyDescent="0.25">
      <c r="A49" s="206"/>
      <c r="B49" s="206"/>
      <c r="C49" s="207"/>
      <c r="D49" s="206"/>
      <c r="E49" s="206"/>
      <c r="F49" s="206"/>
      <c r="G49" s="206"/>
      <c r="H49" s="206"/>
      <c r="I49" s="206"/>
      <c r="J49" s="206"/>
      <c r="K49" s="206"/>
    </row>
    <row r="50" spans="1:11" x14ac:dyDescent="0.25">
      <c r="A50" s="206"/>
      <c r="B50" s="206"/>
      <c r="C50" s="207"/>
      <c r="D50" s="206"/>
      <c r="E50" s="206"/>
      <c r="F50" s="206"/>
      <c r="G50" s="206"/>
      <c r="H50" s="206"/>
      <c r="I50" s="206"/>
      <c r="J50" s="206"/>
      <c r="K50" s="206"/>
    </row>
    <row r="51" spans="1:11" x14ac:dyDescent="0.25">
      <c r="A51" s="206"/>
      <c r="B51" s="206"/>
      <c r="C51" s="207"/>
      <c r="D51" s="206"/>
      <c r="E51" s="206"/>
      <c r="F51" s="206"/>
      <c r="G51" s="206"/>
      <c r="H51" s="206"/>
      <c r="I51" s="206"/>
      <c r="J51" s="206"/>
      <c r="K51" s="206"/>
    </row>
    <row r="52" spans="1:11" x14ac:dyDescent="0.25">
      <c r="A52" s="206"/>
      <c r="B52" s="206"/>
      <c r="C52" s="207"/>
      <c r="D52" s="206"/>
      <c r="E52" s="206"/>
      <c r="F52" s="206"/>
      <c r="G52" s="206"/>
      <c r="H52" s="206"/>
      <c r="I52" s="206"/>
      <c r="J52" s="206"/>
      <c r="K52" s="206"/>
    </row>
    <row r="53" spans="1:11" x14ac:dyDescent="0.25">
      <c r="A53" s="206"/>
      <c r="B53" s="206"/>
      <c r="C53" s="207"/>
      <c r="D53" s="206"/>
      <c r="E53" s="206"/>
      <c r="F53" s="206"/>
      <c r="G53" s="206"/>
      <c r="H53" s="206"/>
      <c r="I53" s="206"/>
      <c r="J53" s="206"/>
      <c r="K53" s="206"/>
    </row>
    <row r="54" spans="1:11" x14ac:dyDescent="0.25">
      <c r="A54" s="206"/>
      <c r="B54" s="206"/>
      <c r="C54" s="207"/>
      <c r="D54" s="206"/>
      <c r="E54" s="206"/>
      <c r="F54" s="206"/>
      <c r="G54" s="206"/>
      <c r="H54" s="206"/>
      <c r="I54" s="206"/>
      <c r="J54" s="206"/>
      <c r="K54" s="206"/>
    </row>
    <row r="55" spans="1:11" x14ac:dyDescent="0.25">
      <c r="A55" s="206"/>
      <c r="B55" s="206"/>
      <c r="C55" s="207"/>
      <c r="D55" s="206"/>
      <c r="E55" s="206"/>
      <c r="F55" s="206"/>
      <c r="G55" s="206"/>
      <c r="H55" s="206"/>
      <c r="I55" s="206"/>
      <c r="J55" s="206"/>
      <c r="K55" s="206"/>
    </row>
    <row r="56" spans="1:11" x14ac:dyDescent="0.25">
      <c r="A56" s="206"/>
      <c r="B56" s="206"/>
      <c r="C56" s="207"/>
      <c r="D56" s="206"/>
      <c r="E56" s="206"/>
      <c r="F56" s="206"/>
      <c r="G56" s="206"/>
      <c r="H56" s="206"/>
      <c r="I56" s="206"/>
      <c r="J56" s="206"/>
      <c r="K56" s="206"/>
    </row>
    <row r="57" spans="1:11" x14ac:dyDescent="0.25">
      <c r="A57" s="206"/>
      <c r="B57" s="206"/>
      <c r="C57" s="207"/>
      <c r="D57" s="206"/>
      <c r="E57" s="206"/>
      <c r="F57" s="206"/>
      <c r="G57" s="206"/>
      <c r="H57" s="206"/>
      <c r="I57" s="206"/>
      <c r="J57" s="206"/>
      <c r="K57" s="206"/>
    </row>
    <row r="58" spans="1:11" x14ac:dyDescent="0.25">
      <c r="A58" s="206"/>
      <c r="B58" s="206"/>
      <c r="C58" s="207"/>
      <c r="D58" s="206"/>
      <c r="E58" s="206"/>
      <c r="F58" s="206"/>
      <c r="G58" s="206"/>
      <c r="H58" s="206"/>
      <c r="I58" s="206"/>
      <c r="J58" s="206"/>
      <c r="K58" s="206"/>
    </row>
    <row r="59" spans="1:11" x14ac:dyDescent="0.25">
      <c r="A59" s="206"/>
      <c r="B59" s="206"/>
      <c r="C59" s="207"/>
      <c r="D59" s="206"/>
      <c r="E59" s="206"/>
      <c r="F59" s="206"/>
      <c r="G59" s="206"/>
      <c r="H59" s="206"/>
      <c r="I59" s="206"/>
      <c r="J59" s="206"/>
      <c r="K59" s="206"/>
    </row>
    <row r="60" spans="1:11" x14ac:dyDescent="0.25">
      <c r="A60" s="206"/>
      <c r="B60" s="206"/>
      <c r="C60" s="207"/>
      <c r="D60" s="206"/>
      <c r="E60" s="206"/>
      <c r="F60" s="206"/>
      <c r="G60" s="206"/>
      <c r="H60" s="206"/>
      <c r="I60" s="206"/>
      <c r="J60" s="206"/>
      <c r="K60" s="206"/>
    </row>
    <row r="61" spans="1:11" x14ac:dyDescent="0.25">
      <c r="A61" s="206"/>
      <c r="B61" s="206"/>
      <c r="C61" s="207"/>
      <c r="D61" s="206"/>
      <c r="E61" s="206"/>
      <c r="F61" s="206"/>
      <c r="G61" s="206"/>
      <c r="H61" s="206"/>
      <c r="I61" s="206"/>
      <c r="J61" s="206"/>
      <c r="K61" s="206"/>
    </row>
    <row r="62" spans="1:11" x14ac:dyDescent="0.25">
      <c r="A62" s="206"/>
      <c r="B62" s="206"/>
      <c r="C62" s="207"/>
      <c r="D62" s="206"/>
      <c r="E62" s="206"/>
      <c r="F62" s="206"/>
      <c r="G62" s="206"/>
      <c r="H62" s="206"/>
      <c r="I62" s="206"/>
      <c r="J62" s="206"/>
      <c r="K62" s="206"/>
    </row>
    <row r="63" spans="1:11" x14ac:dyDescent="0.25">
      <c r="A63" s="206"/>
      <c r="B63" s="206"/>
      <c r="C63" s="207"/>
      <c r="D63" s="206"/>
      <c r="E63" s="206"/>
      <c r="F63" s="206"/>
      <c r="G63" s="206"/>
      <c r="H63" s="206"/>
      <c r="I63" s="206"/>
      <c r="J63" s="206"/>
      <c r="K63" s="206"/>
    </row>
    <row r="64" spans="1:11" x14ac:dyDescent="0.25">
      <c r="A64" s="206"/>
      <c r="B64" s="206"/>
      <c r="C64" s="207"/>
      <c r="D64" s="206"/>
      <c r="E64" s="206"/>
      <c r="F64" s="206"/>
      <c r="G64" s="206"/>
      <c r="H64" s="206"/>
      <c r="I64" s="206"/>
      <c r="J64" s="206"/>
      <c r="K64" s="206"/>
    </row>
    <row r="65" spans="1:11" x14ac:dyDescent="0.25">
      <c r="A65" s="206"/>
      <c r="B65" s="206"/>
      <c r="C65" s="207"/>
      <c r="D65" s="206"/>
      <c r="E65" s="206"/>
      <c r="F65" s="206"/>
      <c r="G65" s="206"/>
      <c r="H65" s="206"/>
      <c r="I65" s="206"/>
      <c r="J65" s="206"/>
      <c r="K65" s="206"/>
    </row>
    <row r="66" spans="1:11" x14ac:dyDescent="0.25">
      <c r="A66" s="206"/>
      <c r="B66" s="206"/>
      <c r="C66" s="207"/>
      <c r="D66" s="206"/>
      <c r="E66" s="206"/>
      <c r="F66" s="206"/>
      <c r="G66" s="206"/>
      <c r="H66" s="206"/>
      <c r="I66" s="206"/>
      <c r="J66" s="206"/>
      <c r="K66" s="206"/>
    </row>
    <row r="67" spans="1:11" x14ac:dyDescent="0.25">
      <c r="A67" s="206"/>
      <c r="B67" s="206"/>
      <c r="C67" s="207"/>
      <c r="D67" s="206"/>
      <c r="E67" s="206"/>
      <c r="F67" s="206"/>
      <c r="G67" s="206"/>
      <c r="H67" s="206"/>
      <c r="I67" s="206"/>
      <c r="J67" s="206"/>
      <c r="K67" s="206"/>
    </row>
    <row r="68" spans="1:11" x14ac:dyDescent="0.25">
      <c r="A68" s="206"/>
      <c r="B68" s="206"/>
      <c r="C68" s="207"/>
      <c r="D68" s="206"/>
      <c r="E68" s="206"/>
      <c r="F68" s="206"/>
      <c r="G68" s="206"/>
      <c r="H68" s="206"/>
      <c r="I68" s="206"/>
      <c r="J68" s="206"/>
      <c r="K68" s="206"/>
    </row>
    <row r="69" spans="1:11" x14ac:dyDescent="0.25">
      <c r="A69" s="206"/>
      <c r="B69" s="206"/>
      <c r="C69" s="207"/>
      <c r="D69" s="206"/>
      <c r="E69" s="206"/>
      <c r="F69" s="206"/>
      <c r="G69" s="206"/>
      <c r="H69" s="206"/>
      <c r="I69" s="206"/>
      <c r="J69" s="206"/>
      <c r="K69" s="206"/>
    </row>
    <row r="70" spans="1:11" x14ac:dyDescent="0.25">
      <c r="A70" s="206"/>
      <c r="B70" s="206"/>
      <c r="C70" s="207"/>
      <c r="D70" s="206"/>
      <c r="E70" s="206"/>
      <c r="F70" s="206"/>
      <c r="G70" s="206"/>
      <c r="H70" s="206"/>
      <c r="I70" s="206"/>
      <c r="J70" s="206"/>
      <c r="K70" s="206"/>
    </row>
    <row r="71" spans="1:11" x14ac:dyDescent="0.25">
      <c r="A71" s="206"/>
      <c r="B71" s="206"/>
      <c r="C71" s="207"/>
      <c r="D71" s="206"/>
      <c r="E71" s="206"/>
      <c r="F71" s="206"/>
      <c r="G71" s="206"/>
      <c r="H71" s="206"/>
      <c r="I71" s="206"/>
      <c r="J71" s="206"/>
      <c r="K71" s="206"/>
    </row>
    <row r="72" spans="1:11" x14ac:dyDescent="0.25">
      <c r="A72" s="206"/>
      <c r="B72" s="206"/>
      <c r="C72" s="207"/>
      <c r="D72" s="206"/>
      <c r="E72" s="206"/>
      <c r="F72" s="206"/>
      <c r="G72" s="206"/>
      <c r="H72" s="206"/>
      <c r="I72" s="206"/>
      <c r="J72" s="206"/>
      <c r="K72" s="206"/>
    </row>
    <row r="73" spans="1:11" x14ac:dyDescent="0.25">
      <c r="A73" s="206"/>
      <c r="B73" s="206"/>
      <c r="C73" s="207"/>
      <c r="D73" s="206"/>
      <c r="E73" s="206"/>
      <c r="F73" s="206"/>
      <c r="G73" s="206"/>
      <c r="H73" s="206"/>
      <c r="I73" s="206"/>
      <c r="J73" s="206"/>
      <c r="K73" s="206"/>
    </row>
    <row r="74" spans="1:11" x14ac:dyDescent="0.25">
      <c r="A74" s="206"/>
      <c r="B74" s="206"/>
      <c r="C74" s="207"/>
      <c r="D74" s="206"/>
      <c r="E74" s="206"/>
      <c r="F74" s="206"/>
      <c r="G74" s="206"/>
      <c r="H74" s="206"/>
      <c r="I74" s="206"/>
      <c r="J74" s="206"/>
      <c r="K74" s="206"/>
    </row>
    <row r="75" spans="1:11" x14ac:dyDescent="0.25">
      <c r="A75" s="206"/>
      <c r="B75" s="206"/>
      <c r="C75" s="207"/>
      <c r="D75" s="206"/>
      <c r="E75" s="206"/>
      <c r="F75" s="206"/>
      <c r="G75" s="206"/>
      <c r="H75" s="206"/>
      <c r="I75" s="206"/>
      <c r="J75" s="206"/>
      <c r="K75" s="206"/>
    </row>
    <row r="76" spans="1:11" x14ac:dyDescent="0.25">
      <c r="A76" s="206"/>
      <c r="B76" s="206"/>
      <c r="C76" s="207"/>
      <c r="D76" s="206"/>
      <c r="E76" s="206"/>
      <c r="F76" s="206"/>
      <c r="G76" s="206"/>
      <c r="H76" s="206"/>
      <c r="I76" s="206"/>
      <c r="J76" s="206"/>
      <c r="K76" s="206"/>
    </row>
    <row r="77" spans="1:11" x14ac:dyDescent="0.25">
      <c r="A77" s="206"/>
      <c r="B77" s="206"/>
      <c r="C77" s="207"/>
      <c r="D77" s="206"/>
      <c r="E77" s="206"/>
      <c r="F77" s="206"/>
      <c r="G77" s="206"/>
      <c r="H77" s="206"/>
      <c r="I77" s="206"/>
      <c r="J77" s="206"/>
      <c r="K77" s="206"/>
    </row>
    <row r="78" spans="1:11" x14ac:dyDescent="0.25">
      <c r="A78" s="206"/>
      <c r="B78" s="206"/>
      <c r="C78" s="207"/>
      <c r="D78" s="206"/>
      <c r="E78" s="206"/>
      <c r="F78" s="206"/>
      <c r="G78" s="206"/>
      <c r="H78" s="206"/>
      <c r="I78" s="206"/>
      <c r="J78" s="206"/>
      <c r="K78" s="206"/>
    </row>
    <row r="79" spans="1:11" x14ac:dyDescent="0.25">
      <c r="A79" s="206"/>
      <c r="B79" s="206"/>
      <c r="C79" s="207"/>
      <c r="D79" s="206"/>
      <c r="E79" s="206"/>
      <c r="F79" s="206"/>
      <c r="G79" s="206"/>
      <c r="H79" s="206"/>
      <c r="I79" s="206"/>
      <c r="J79" s="206"/>
      <c r="K79" s="206"/>
    </row>
    <row r="80" spans="1:11" x14ac:dyDescent="0.25">
      <c r="A80" s="206"/>
      <c r="B80" s="206"/>
      <c r="C80" s="207"/>
      <c r="D80" s="206"/>
      <c r="E80" s="206"/>
      <c r="F80" s="206"/>
      <c r="G80" s="206"/>
      <c r="H80" s="206"/>
      <c r="I80" s="206"/>
      <c r="J80" s="206"/>
      <c r="K80" s="206"/>
    </row>
    <row r="81" spans="1:11" x14ac:dyDescent="0.25">
      <c r="A81" s="206"/>
      <c r="B81" s="206"/>
      <c r="C81" s="207"/>
      <c r="D81" s="206"/>
      <c r="E81" s="206"/>
      <c r="F81" s="206"/>
      <c r="G81" s="206"/>
      <c r="H81" s="206"/>
      <c r="I81" s="206"/>
      <c r="J81" s="206"/>
      <c r="K81" s="206"/>
    </row>
    <row r="82" spans="1:11" x14ac:dyDescent="0.25">
      <c r="A82" s="206"/>
      <c r="B82" s="206"/>
      <c r="C82" s="207"/>
      <c r="D82" s="206"/>
      <c r="E82" s="206"/>
      <c r="F82" s="206"/>
      <c r="G82" s="206"/>
      <c r="H82" s="206"/>
      <c r="I82" s="206"/>
      <c r="J82" s="206"/>
      <c r="K82" s="206"/>
    </row>
    <row r="83" spans="1:11" x14ac:dyDescent="0.25">
      <c r="A83" s="206"/>
      <c r="B83" s="206"/>
      <c r="C83" s="207"/>
      <c r="D83" s="206"/>
      <c r="E83" s="206"/>
      <c r="F83" s="206"/>
      <c r="G83" s="206"/>
      <c r="H83" s="206"/>
      <c r="I83" s="206"/>
      <c r="J83" s="206"/>
      <c r="K83" s="206"/>
    </row>
    <row r="84" spans="1:11" x14ac:dyDescent="0.25">
      <c r="A84" s="206"/>
      <c r="B84" s="206"/>
      <c r="C84" s="207"/>
      <c r="D84" s="206"/>
      <c r="E84" s="206"/>
      <c r="F84" s="206"/>
      <c r="G84" s="206"/>
      <c r="H84" s="206"/>
      <c r="I84" s="206"/>
      <c r="J84" s="206"/>
      <c r="K84" s="206"/>
    </row>
    <row r="85" spans="1:11" x14ac:dyDescent="0.25">
      <c r="A85" s="206"/>
      <c r="B85" s="206"/>
      <c r="C85" s="207"/>
      <c r="D85" s="206"/>
      <c r="E85" s="206"/>
      <c r="F85" s="206"/>
      <c r="G85" s="206"/>
      <c r="H85" s="206"/>
      <c r="I85" s="206"/>
      <c r="J85" s="206"/>
      <c r="K85" s="206"/>
    </row>
    <row r="86" spans="1:11" x14ac:dyDescent="0.25">
      <c r="A86" s="206"/>
      <c r="B86" s="206"/>
      <c r="C86" s="207"/>
      <c r="D86" s="206"/>
      <c r="E86" s="206"/>
      <c r="F86" s="206"/>
      <c r="G86" s="206"/>
      <c r="H86" s="206"/>
      <c r="I86" s="206"/>
      <c r="J86" s="206"/>
      <c r="K86" s="206"/>
    </row>
    <row r="87" spans="1:11" x14ac:dyDescent="0.25">
      <c r="A87" s="206"/>
      <c r="B87" s="206"/>
      <c r="C87" s="207"/>
      <c r="D87" s="206"/>
      <c r="E87" s="206"/>
      <c r="F87" s="206"/>
      <c r="G87" s="206"/>
      <c r="H87" s="206"/>
      <c r="I87" s="206"/>
      <c r="J87" s="206"/>
      <c r="K87" s="206"/>
    </row>
    <row r="88" spans="1:11" x14ac:dyDescent="0.25">
      <c r="A88" s="206"/>
      <c r="B88" s="206"/>
      <c r="C88" s="207"/>
      <c r="D88" s="206"/>
      <c r="E88" s="206"/>
      <c r="F88" s="206"/>
      <c r="G88" s="206"/>
      <c r="H88" s="206"/>
      <c r="I88" s="206"/>
      <c r="J88" s="206"/>
      <c r="K88" s="206"/>
    </row>
    <row r="89" spans="1:11" x14ac:dyDescent="0.25">
      <c r="A89" s="206"/>
      <c r="B89" s="206"/>
      <c r="C89" s="207"/>
      <c r="D89" s="206"/>
      <c r="E89" s="206"/>
      <c r="F89" s="206"/>
      <c r="G89" s="206"/>
      <c r="H89" s="206"/>
      <c r="I89" s="206"/>
      <c r="J89" s="206"/>
      <c r="K89" s="206"/>
    </row>
    <row r="90" spans="1:11" x14ac:dyDescent="0.25">
      <c r="A90" s="206"/>
      <c r="B90" s="206"/>
      <c r="C90" s="207"/>
      <c r="D90" s="206"/>
      <c r="E90" s="206"/>
      <c r="F90" s="206"/>
      <c r="G90" s="206"/>
      <c r="H90" s="206"/>
      <c r="I90" s="206"/>
      <c r="J90" s="206"/>
      <c r="K90" s="206"/>
    </row>
    <row r="91" spans="1:11" x14ac:dyDescent="0.25">
      <c r="A91" s="206"/>
      <c r="B91" s="206"/>
      <c r="C91" s="207"/>
      <c r="D91" s="206"/>
      <c r="E91" s="206"/>
      <c r="F91" s="206"/>
      <c r="G91" s="206"/>
      <c r="H91" s="206"/>
      <c r="I91" s="206"/>
      <c r="J91" s="206"/>
      <c r="K91" s="206"/>
    </row>
    <row r="92" spans="1:11" x14ac:dyDescent="0.25">
      <c r="A92" s="206"/>
      <c r="B92" s="206"/>
      <c r="C92" s="207"/>
      <c r="D92" s="206"/>
      <c r="E92" s="206"/>
      <c r="F92" s="206"/>
      <c r="G92" s="206"/>
      <c r="H92" s="206"/>
      <c r="I92" s="206"/>
      <c r="J92" s="206"/>
      <c r="K92" s="206"/>
    </row>
    <row r="93" spans="1:11" x14ac:dyDescent="0.25">
      <c r="A93" s="206"/>
      <c r="B93" s="206"/>
      <c r="C93" s="207"/>
      <c r="D93" s="206"/>
      <c r="E93" s="206"/>
      <c r="F93" s="206"/>
      <c r="G93" s="206"/>
      <c r="H93" s="206"/>
      <c r="I93" s="206"/>
      <c r="J93" s="206"/>
      <c r="K93" s="206"/>
    </row>
    <row r="94" spans="1:11" x14ac:dyDescent="0.25">
      <c r="A94" s="206"/>
      <c r="B94" s="206"/>
      <c r="C94" s="207"/>
      <c r="D94" s="206"/>
      <c r="E94" s="206"/>
      <c r="F94" s="206"/>
      <c r="G94" s="206"/>
      <c r="H94" s="206"/>
      <c r="I94" s="206"/>
      <c r="J94" s="206"/>
      <c r="K94" s="206"/>
    </row>
    <row r="95" spans="1:11" x14ac:dyDescent="0.25">
      <c r="A95" s="206"/>
      <c r="B95" s="206"/>
      <c r="C95" s="207"/>
      <c r="D95" s="206"/>
      <c r="E95" s="206"/>
      <c r="F95" s="206"/>
      <c r="G95" s="206"/>
      <c r="H95" s="206"/>
      <c r="I95" s="206"/>
      <c r="J95" s="206"/>
      <c r="K95" s="206"/>
    </row>
    <row r="96" spans="1:11" x14ac:dyDescent="0.25">
      <c r="A96" s="206"/>
      <c r="B96" s="206"/>
      <c r="C96" s="207"/>
      <c r="D96" s="206"/>
      <c r="E96" s="206"/>
      <c r="F96" s="206"/>
      <c r="G96" s="206"/>
      <c r="H96" s="206"/>
      <c r="I96" s="206"/>
      <c r="J96" s="206"/>
      <c r="K96" s="206"/>
    </row>
    <row r="97" spans="3:3" x14ac:dyDescent="0.25">
      <c r="C97" s="154"/>
    </row>
    <row r="98" spans="3:3" x14ac:dyDescent="0.25">
      <c r="C98" s="154"/>
    </row>
    <row r="99" spans="3:3" x14ac:dyDescent="0.25">
      <c r="C99" s="154"/>
    </row>
    <row r="100" spans="3:3" x14ac:dyDescent="0.25">
      <c r="C100" s="154"/>
    </row>
    <row r="101" spans="3:3" x14ac:dyDescent="0.25">
      <c r="C101" s="154"/>
    </row>
    <row r="102" spans="3:3" x14ac:dyDescent="0.25">
      <c r="C102" s="154"/>
    </row>
    <row r="103" spans="3:3" x14ac:dyDescent="0.25">
      <c r="C103" s="154"/>
    </row>
    <row r="104" spans="3:3" x14ac:dyDescent="0.25">
      <c r="C104" s="154"/>
    </row>
    <row r="105" spans="3:3" x14ac:dyDescent="0.25">
      <c r="C105" s="154"/>
    </row>
    <row r="106" spans="3:3" x14ac:dyDescent="0.25">
      <c r="C106" s="154"/>
    </row>
    <row r="107" spans="3:3" x14ac:dyDescent="0.25">
      <c r="C107" s="154"/>
    </row>
    <row r="108" spans="3:3" x14ac:dyDescent="0.25">
      <c r="C108" s="154"/>
    </row>
    <row r="109" spans="3:3" x14ac:dyDescent="0.25">
      <c r="C109" s="154"/>
    </row>
    <row r="110" spans="3:3" x14ac:dyDescent="0.25">
      <c r="C110" s="154"/>
    </row>
    <row r="111" spans="3:3" x14ac:dyDescent="0.25">
      <c r="C111" s="154"/>
    </row>
    <row r="112" spans="3:3" x14ac:dyDescent="0.25">
      <c r="C112" s="154"/>
    </row>
    <row r="113" spans="3:3" x14ac:dyDescent="0.25">
      <c r="C113" s="154"/>
    </row>
    <row r="114" spans="3:3" x14ac:dyDescent="0.25">
      <c r="C114" s="154"/>
    </row>
    <row r="115" spans="3:3" x14ac:dyDescent="0.25">
      <c r="C115" s="154"/>
    </row>
    <row r="116" spans="3:3" x14ac:dyDescent="0.25">
      <c r="C116" s="154"/>
    </row>
    <row r="117" spans="3:3" x14ac:dyDescent="0.25">
      <c r="C117" s="154"/>
    </row>
    <row r="118" spans="3:3" x14ac:dyDescent="0.25">
      <c r="C118" s="154"/>
    </row>
    <row r="119" spans="3:3" x14ac:dyDescent="0.25">
      <c r="C119" s="154"/>
    </row>
    <row r="120" spans="3:3" x14ac:dyDescent="0.25">
      <c r="C120" s="154"/>
    </row>
    <row r="121" spans="3:3" x14ac:dyDescent="0.25">
      <c r="C121" s="154"/>
    </row>
    <row r="122" spans="3:3" x14ac:dyDescent="0.25">
      <c r="C122" s="154"/>
    </row>
    <row r="123" spans="3:3" x14ac:dyDescent="0.25">
      <c r="C123" s="154"/>
    </row>
    <row r="124" spans="3:3" x14ac:dyDescent="0.25">
      <c r="C124" s="154"/>
    </row>
    <row r="125" spans="3:3" x14ac:dyDescent="0.25">
      <c r="C125" s="154"/>
    </row>
    <row r="126" spans="3:3" x14ac:dyDescent="0.25">
      <c r="C126" s="154"/>
    </row>
    <row r="127" spans="3:3" x14ac:dyDescent="0.25">
      <c r="C127" s="154"/>
    </row>
    <row r="128" spans="3:3" x14ac:dyDescent="0.25">
      <c r="C128" s="154"/>
    </row>
    <row r="129" spans="3:3" x14ac:dyDescent="0.25">
      <c r="C129" s="154"/>
    </row>
    <row r="130" spans="3:3" x14ac:dyDescent="0.25">
      <c r="C130" s="154"/>
    </row>
    <row r="131" spans="3:3" x14ac:dyDescent="0.25">
      <c r="C131" s="154"/>
    </row>
    <row r="132" spans="3:3" x14ac:dyDescent="0.25">
      <c r="C132" s="154"/>
    </row>
    <row r="133" spans="3:3" x14ac:dyDescent="0.25">
      <c r="C133" s="154"/>
    </row>
    <row r="134" spans="3:3" x14ac:dyDescent="0.25">
      <c r="C134" s="154"/>
    </row>
    <row r="135" spans="3:3" x14ac:dyDescent="0.25">
      <c r="C135" s="154"/>
    </row>
    <row r="136" spans="3:3" x14ac:dyDescent="0.25">
      <c r="C136" s="154"/>
    </row>
    <row r="137" spans="3:3" x14ac:dyDescent="0.25">
      <c r="C137" s="154"/>
    </row>
    <row r="138" spans="3:3" x14ac:dyDescent="0.25">
      <c r="C138" s="154"/>
    </row>
    <row r="139" spans="3:3" x14ac:dyDescent="0.25">
      <c r="C139" s="154"/>
    </row>
    <row r="140" spans="3:3" x14ac:dyDescent="0.25">
      <c r="C140" s="154"/>
    </row>
    <row r="141" spans="3:3" x14ac:dyDescent="0.25">
      <c r="C141" s="154"/>
    </row>
    <row r="142" spans="3:3" x14ac:dyDescent="0.25">
      <c r="C142" s="154"/>
    </row>
    <row r="143" spans="3:3" x14ac:dyDescent="0.25">
      <c r="C143" s="154"/>
    </row>
    <row r="144" spans="3:3" x14ac:dyDescent="0.25">
      <c r="C144" s="154"/>
    </row>
    <row r="145" spans="3:3" x14ac:dyDescent="0.25">
      <c r="C145" s="154"/>
    </row>
    <row r="146" spans="3:3" x14ac:dyDescent="0.25">
      <c r="C146" s="154"/>
    </row>
    <row r="147" spans="3:3" x14ac:dyDescent="0.25">
      <c r="C147" s="154"/>
    </row>
    <row r="148" spans="3:3" x14ac:dyDescent="0.25">
      <c r="C148" s="154"/>
    </row>
    <row r="149" spans="3:3" x14ac:dyDescent="0.25">
      <c r="C149" s="154"/>
    </row>
    <row r="150" spans="3:3" x14ac:dyDescent="0.25">
      <c r="C150" s="154"/>
    </row>
    <row r="151" spans="3:3" x14ac:dyDescent="0.25">
      <c r="C151" s="154"/>
    </row>
    <row r="152" spans="3:3" x14ac:dyDescent="0.25">
      <c r="C152" s="154"/>
    </row>
    <row r="153" spans="3:3" x14ac:dyDescent="0.25">
      <c r="C153" s="154"/>
    </row>
    <row r="154" spans="3:3" x14ac:dyDescent="0.25">
      <c r="C154" s="154"/>
    </row>
    <row r="155" spans="3:3" x14ac:dyDescent="0.25">
      <c r="C155" s="154"/>
    </row>
    <row r="156" spans="3:3" x14ac:dyDescent="0.25">
      <c r="C156" s="154"/>
    </row>
    <row r="157" spans="3:3" x14ac:dyDescent="0.25">
      <c r="C157" s="154"/>
    </row>
    <row r="158" spans="3:3" x14ac:dyDescent="0.25">
      <c r="C158" s="154"/>
    </row>
    <row r="159" spans="3:3" x14ac:dyDescent="0.25">
      <c r="C159" s="154"/>
    </row>
    <row r="160" spans="3:3" x14ac:dyDescent="0.25">
      <c r="C160" s="154"/>
    </row>
    <row r="161" spans="3:3" x14ac:dyDescent="0.25">
      <c r="C161" s="154"/>
    </row>
    <row r="162" spans="3:3" x14ac:dyDescent="0.25">
      <c r="C162" s="154"/>
    </row>
    <row r="163" spans="3:3" x14ac:dyDescent="0.25">
      <c r="C163" s="154"/>
    </row>
    <row r="164" spans="3:3" x14ac:dyDescent="0.25">
      <c r="C164" s="154"/>
    </row>
    <row r="165" spans="3:3" x14ac:dyDescent="0.25">
      <c r="C165" s="154"/>
    </row>
    <row r="166" spans="3:3" x14ac:dyDescent="0.25">
      <c r="C166" s="154"/>
    </row>
    <row r="167" spans="3:3" x14ac:dyDescent="0.25">
      <c r="C167" s="154"/>
    </row>
    <row r="168" spans="3:3" x14ac:dyDescent="0.25">
      <c r="C168" s="154"/>
    </row>
    <row r="169" spans="3:3" x14ac:dyDescent="0.25">
      <c r="C169" s="154"/>
    </row>
    <row r="170" spans="3:3" x14ac:dyDescent="0.25">
      <c r="C170" s="154"/>
    </row>
    <row r="171" spans="3:3" x14ac:dyDescent="0.25">
      <c r="C171" s="154"/>
    </row>
    <row r="172" spans="3:3" x14ac:dyDescent="0.25">
      <c r="C172" s="154"/>
    </row>
    <row r="173" spans="3:3" x14ac:dyDescent="0.25">
      <c r="C173" s="154"/>
    </row>
    <row r="174" spans="3:3" x14ac:dyDescent="0.25">
      <c r="C174" s="154"/>
    </row>
  </sheetData>
  <mergeCells count="12">
    <mergeCell ref="A17:B17"/>
    <mergeCell ref="A12:B12"/>
    <mergeCell ref="A13:B13"/>
    <mergeCell ref="A14:B14"/>
    <mergeCell ref="A15:B15"/>
    <mergeCell ref="A16:B16"/>
    <mergeCell ref="A35:F35"/>
    <mergeCell ref="A30:B30"/>
    <mergeCell ref="A31:B31"/>
    <mergeCell ref="A18:B18"/>
    <mergeCell ref="A21:H21"/>
    <mergeCell ref="A23:B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workbookViewId="0">
      <selection activeCell="G36" sqref="G36"/>
    </sheetView>
  </sheetViews>
  <sheetFormatPr defaultColWidth="11.42578125" defaultRowHeight="15" x14ac:dyDescent="0.25"/>
  <cols>
    <col min="1" max="1" width="34.140625" style="154" customWidth="1"/>
    <col min="2" max="3" width="12.7109375" style="154" customWidth="1"/>
    <col min="4" max="4" width="12.7109375" style="133" customWidth="1"/>
    <col min="5" max="6" width="12.7109375" style="154" customWidth="1"/>
    <col min="7" max="7" width="14.7109375" style="154" customWidth="1"/>
    <col min="8" max="256" width="9.140625" style="154" customWidth="1"/>
    <col min="257" max="16384" width="11.42578125" style="154"/>
  </cols>
  <sheetData>
    <row r="1" spans="1:8" x14ac:dyDescent="0.25">
      <c r="A1" s="133"/>
    </row>
    <row r="2" spans="1:8" s="211" customFormat="1" ht="6" customHeight="1" x14ac:dyDescent="0.2"/>
    <row r="3" spans="1:8" ht="18" x14ac:dyDescent="0.25">
      <c r="A3" s="136" t="s">
        <v>497</v>
      </c>
      <c r="G3" s="133"/>
    </row>
    <row r="4" spans="1:8" x14ac:dyDescent="0.25">
      <c r="D4" s="250"/>
      <c r="E4" s="250"/>
    </row>
    <row r="5" spans="1:8" x14ac:dyDescent="0.25">
      <c r="A5" s="277" t="s">
        <v>498</v>
      </c>
      <c r="B5" s="277"/>
      <c r="C5" s="277"/>
      <c r="D5" s="301"/>
      <c r="E5" s="250"/>
    </row>
    <row r="6" spans="1:8" x14ac:dyDescent="0.25">
      <c r="A6" s="263"/>
      <c r="B6" s="273"/>
      <c r="C6" s="274">
        <v>44561</v>
      </c>
      <c r="D6" s="302"/>
      <c r="E6" s="250"/>
    </row>
    <row r="7" spans="1:8" x14ac:dyDescent="0.25">
      <c r="A7" s="208" t="s">
        <v>499</v>
      </c>
      <c r="B7" s="234"/>
      <c r="C7" s="304">
        <f>'5'!F38</f>
        <v>0.77456704120045305</v>
      </c>
      <c r="D7" s="306"/>
      <c r="E7" s="250"/>
    </row>
    <row r="8" spans="1:8" x14ac:dyDescent="0.25">
      <c r="A8" s="209" t="s">
        <v>471</v>
      </c>
      <c r="B8" s="235"/>
      <c r="C8" s="305">
        <f>'5'!F37</f>
        <v>0.22543295879954697</v>
      </c>
      <c r="D8" s="306"/>
      <c r="E8" s="250"/>
    </row>
    <row r="9" spans="1:8" x14ac:dyDescent="0.25">
      <c r="A9" s="206"/>
      <c r="B9" s="206"/>
      <c r="C9" s="206"/>
      <c r="D9" s="303"/>
      <c r="E9" s="250"/>
    </row>
    <row r="10" spans="1:8" x14ac:dyDescent="0.25">
      <c r="A10" s="206"/>
      <c r="B10" s="206"/>
      <c r="C10" s="206"/>
      <c r="D10" s="303"/>
      <c r="E10" s="250"/>
    </row>
    <row r="11" spans="1:8" x14ac:dyDescent="0.25">
      <c r="A11" s="277" t="s">
        <v>500</v>
      </c>
      <c r="B11" s="277"/>
      <c r="C11" s="277"/>
      <c r="D11" s="301"/>
      <c r="E11" s="250"/>
    </row>
    <row r="12" spans="1:8" x14ac:dyDescent="0.25">
      <c r="A12" s="263"/>
      <c r="B12" s="273"/>
      <c r="C12" s="274">
        <v>44561</v>
      </c>
      <c r="D12" s="302"/>
      <c r="E12" s="250"/>
    </row>
    <row r="13" spans="1:8" x14ac:dyDescent="0.25">
      <c r="A13" s="208" t="s">
        <v>501</v>
      </c>
      <c r="B13" s="235"/>
      <c r="C13" s="305">
        <f>'5'!C16/'5'!C17</f>
        <v>8.1261173411344059E-3</v>
      </c>
      <c r="D13" s="306"/>
      <c r="E13" s="250"/>
    </row>
    <row r="14" spans="1:8" x14ac:dyDescent="0.25">
      <c r="A14" s="208" t="s">
        <v>535</v>
      </c>
      <c r="B14" s="242"/>
      <c r="C14" s="305">
        <f>100%-C13</f>
        <v>0.99187388265886556</v>
      </c>
      <c r="D14" s="306"/>
      <c r="E14" s="303"/>
      <c r="F14" s="206"/>
      <c r="G14" s="206"/>
      <c r="H14" s="206"/>
    </row>
    <row r="15" spans="1:8" x14ac:dyDescent="0.25">
      <c r="A15" s="206"/>
      <c r="B15" s="206"/>
      <c r="C15" s="236"/>
      <c r="D15" s="236"/>
      <c r="E15" s="236"/>
      <c r="F15" s="236"/>
      <c r="G15" s="236"/>
      <c r="H15" s="236"/>
    </row>
    <row r="16" spans="1:8" ht="15" customHeight="1" x14ac:dyDescent="0.25">
      <c r="A16" s="440" t="s">
        <v>683</v>
      </c>
      <c r="B16" s="440"/>
      <c r="C16" s="440"/>
      <c r="D16" s="440"/>
      <c r="E16" s="440"/>
      <c r="F16" s="440"/>
      <c r="G16" s="440"/>
      <c r="H16" s="440"/>
    </row>
    <row r="17" spans="1:8" ht="15" customHeight="1" x14ac:dyDescent="0.25">
      <c r="A17" s="263" t="s">
        <v>22</v>
      </c>
      <c r="B17" s="273"/>
      <c r="C17" s="276" t="s">
        <v>502</v>
      </c>
      <c r="D17" s="276" t="s">
        <v>503</v>
      </c>
      <c r="E17" s="276" t="s">
        <v>504</v>
      </c>
      <c r="F17" s="276" t="s">
        <v>505</v>
      </c>
      <c r="G17" s="276" t="s">
        <v>506</v>
      </c>
      <c r="H17" s="276" t="s">
        <v>30</v>
      </c>
    </row>
    <row r="18" spans="1:8" x14ac:dyDescent="0.25">
      <c r="A18" s="208" t="s">
        <v>501</v>
      </c>
      <c r="B18" s="234"/>
      <c r="C18" s="237">
        <v>0</v>
      </c>
      <c r="D18" s="237" t="s">
        <v>507</v>
      </c>
      <c r="E18" s="237" t="s">
        <v>507</v>
      </c>
      <c r="F18" s="237" t="s">
        <v>507</v>
      </c>
      <c r="G18" s="237">
        <f>65</f>
        <v>65</v>
      </c>
      <c r="H18" s="237">
        <f>G18</f>
        <v>65</v>
      </c>
    </row>
    <row r="19" spans="1:8" x14ac:dyDescent="0.25">
      <c r="A19" s="238" t="s">
        <v>508</v>
      </c>
      <c r="B19" s="239"/>
      <c r="C19" s="240">
        <f>SUM(C18:C18)</f>
        <v>0</v>
      </c>
      <c r="D19" s="240">
        <f>SUM(D18:D18)</f>
        <v>0</v>
      </c>
      <c r="E19" s="240">
        <f>SUM(E18:E18)</f>
        <v>0</v>
      </c>
      <c r="F19" s="240">
        <f>SUM(F18:F18)</f>
        <v>0</v>
      </c>
      <c r="G19" s="240">
        <f>G18</f>
        <v>65</v>
      </c>
      <c r="H19" s="240">
        <f>G19</f>
        <v>65</v>
      </c>
    </row>
    <row r="20" spans="1:8" s="210" customFormat="1" x14ac:dyDescent="0.25">
      <c r="A20" s="206"/>
      <c r="B20" s="206"/>
      <c r="C20" s="206"/>
      <c r="D20" s="241"/>
      <c r="E20" s="236"/>
      <c r="F20" s="236"/>
      <c r="G20" s="236"/>
      <c r="H20" s="236"/>
    </row>
    <row r="21" spans="1:8" x14ac:dyDescent="0.25">
      <c r="A21" s="206"/>
      <c r="B21" s="206"/>
      <c r="C21" s="206"/>
      <c r="D21" s="207"/>
      <c r="E21" s="206"/>
      <c r="F21" s="206"/>
      <c r="G21" s="206"/>
      <c r="H21" s="206"/>
    </row>
    <row r="22" spans="1:8" x14ac:dyDescent="0.25">
      <c r="A22" s="277" t="s">
        <v>608</v>
      </c>
      <c r="B22" s="277"/>
      <c r="C22" s="277"/>
      <c r="D22" s="277"/>
      <c r="E22" s="277"/>
      <c r="F22" s="277"/>
      <c r="G22" s="277"/>
    </row>
    <row r="23" spans="1:8" ht="25.5" x14ac:dyDescent="0.25">
      <c r="A23" s="307" t="s">
        <v>607</v>
      </c>
      <c r="B23" s="308" t="s">
        <v>602</v>
      </c>
      <c r="C23" s="309" t="s">
        <v>603</v>
      </c>
      <c r="D23" s="309" t="s">
        <v>604</v>
      </c>
      <c r="E23" s="309" t="s">
        <v>605</v>
      </c>
      <c r="F23" s="308" t="s">
        <v>606</v>
      </c>
      <c r="G23" s="310" t="s">
        <v>30</v>
      </c>
    </row>
    <row r="24" spans="1:8" x14ac:dyDescent="0.25">
      <c r="A24" s="311" t="s">
        <v>578</v>
      </c>
      <c r="B24" s="312">
        <v>0</v>
      </c>
      <c r="C24" s="312">
        <v>0</v>
      </c>
      <c r="D24" s="312">
        <v>0</v>
      </c>
      <c r="E24" s="312">
        <v>0</v>
      </c>
      <c r="F24" s="313">
        <v>1301.8</v>
      </c>
      <c r="G24" s="314">
        <f t="shared" ref="G24:G25" si="0">SUM(B24:F24)</f>
        <v>1301.8</v>
      </c>
    </row>
    <row r="25" spans="1:8" x14ac:dyDescent="0.25">
      <c r="A25" s="311" t="s">
        <v>579</v>
      </c>
      <c r="B25" s="417">
        <v>0.6</v>
      </c>
      <c r="C25" s="417">
        <v>3.7</v>
      </c>
      <c r="D25" s="417">
        <v>2805.7</v>
      </c>
      <c r="E25" s="312">
        <v>0</v>
      </c>
      <c r="F25" s="416">
        <v>6172.3</v>
      </c>
      <c r="G25" s="418">
        <f t="shared" si="0"/>
        <v>8982.2999999999993</v>
      </c>
    </row>
    <row r="26" spans="1:8" x14ac:dyDescent="0.25">
      <c r="A26" s="315" t="s">
        <v>496</v>
      </c>
      <c r="B26" s="316">
        <v>0</v>
      </c>
      <c r="C26" s="312">
        <v>0</v>
      </c>
      <c r="D26" s="312">
        <v>0</v>
      </c>
      <c r="E26" s="312">
        <v>0</v>
      </c>
      <c r="F26" s="313">
        <v>883</v>
      </c>
      <c r="G26" s="314">
        <f>SUM(B26:F26)</f>
        <v>883</v>
      </c>
    </row>
    <row r="27" spans="1:8" x14ac:dyDescent="0.25">
      <c r="A27" s="311" t="s">
        <v>609</v>
      </c>
      <c r="B27" s="313">
        <v>278</v>
      </c>
      <c r="C27" s="312">
        <v>0</v>
      </c>
      <c r="D27" s="312">
        <v>0</v>
      </c>
      <c r="E27" s="312">
        <v>0</v>
      </c>
      <c r="F27" s="313">
        <v>0</v>
      </c>
      <c r="G27" s="314">
        <f t="shared" ref="G27" si="1">SUM(B27:F27)</f>
        <v>278</v>
      </c>
    </row>
    <row r="28" spans="1:8" ht="15.75" thickBot="1" x14ac:dyDescent="0.3">
      <c r="A28" s="317" t="s">
        <v>679</v>
      </c>
      <c r="B28" s="318">
        <f t="shared" ref="B28:G28" si="2">SUM(B24:B27)</f>
        <v>278.60000000000002</v>
      </c>
      <c r="C28" s="318">
        <f t="shared" si="2"/>
        <v>3.7</v>
      </c>
      <c r="D28" s="318">
        <f t="shared" si="2"/>
        <v>2805.7</v>
      </c>
      <c r="E28" s="318">
        <f t="shared" si="2"/>
        <v>0</v>
      </c>
      <c r="F28" s="318">
        <f t="shared" si="2"/>
        <v>8357.1</v>
      </c>
      <c r="G28" s="318">
        <f t="shared" si="2"/>
        <v>11445.099999999999</v>
      </c>
    </row>
    <row r="29" spans="1:8" x14ac:dyDescent="0.25">
      <c r="A29" s="319"/>
      <c r="B29" s="319"/>
      <c r="C29" s="320"/>
      <c r="D29" s="320"/>
      <c r="E29" s="320"/>
      <c r="F29" s="320"/>
      <c r="G29" s="320"/>
    </row>
    <row r="30" spans="1:8" x14ac:dyDescent="0.25">
      <c r="A30" s="319"/>
      <c r="B30" s="319"/>
      <c r="C30" s="320"/>
      <c r="D30" s="320"/>
      <c r="E30" s="320"/>
      <c r="F30" s="320"/>
      <c r="G30" s="320"/>
    </row>
    <row r="31" spans="1:8" ht="25.5" x14ac:dyDescent="0.25">
      <c r="A31" s="321" t="s">
        <v>610</v>
      </c>
      <c r="B31" s="308" t="s">
        <v>602</v>
      </c>
      <c r="C31" s="309" t="s">
        <v>603</v>
      </c>
      <c r="D31" s="309" t="s">
        <v>604</v>
      </c>
      <c r="E31" s="309" t="s">
        <v>605</v>
      </c>
      <c r="F31" s="308" t="s">
        <v>606</v>
      </c>
      <c r="G31" s="310" t="s">
        <v>30</v>
      </c>
    </row>
    <row r="32" spans="1:8" x14ac:dyDescent="0.25">
      <c r="A32" s="311" t="s">
        <v>611</v>
      </c>
      <c r="B32" s="313">
        <v>80</v>
      </c>
      <c r="C32" s="312">
        <v>50.6</v>
      </c>
      <c r="D32" s="313">
        <v>0</v>
      </c>
      <c r="E32" s="312">
        <v>0</v>
      </c>
      <c r="F32" s="322">
        <v>7933.8</v>
      </c>
      <c r="G32" s="323">
        <f t="shared" ref="G32:G34" si="3">SUM(B32:F32)</f>
        <v>8064.4000000000005</v>
      </c>
    </row>
    <row r="33" spans="1:7" x14ac:dyDescent="0.25">
      <c r="A33" s="311" t="s">
        <v>613</v>
      </c>
      <c r="B33" s="313">
        <v>1</v>
      </c>
      <c r="C33" s="312">
        <v>2.9</v>
      </c>
      <c r="D33" s="313">
        <v>15.5</v>
      </c>
      <c r="E33" s="312">
        <v>81.400000000000006</v>
      </c>
      <c r="F33" s="322">
        <v>0</v>
      </c>
      <c r="G33" s="323">
        <f t="shared" si="3"/>
        <v>100.80000000000001</v>
      </c>
    </row>
    <row r="34" spans="1:7" x14ac:dyDescent="0.25">
      <c r="A34" s="311" t="s">
        <v>612</v>
      </c>
      <c r="B34" s="313">
        <v>38.6</v>
      </c>
      <c r="C34" s="312">
        <v>0</v>
      </c>
      <c r="D34" s="313">
        <v>0</v>
      </c>
      <c r="E34" s="312">
        <v>0</v>
      </c>
      <c r="F34" s="322">
        <v>0</v>
      </c>
      <c r="G34" s="323">
        <f t="shared" si="3"/>
        <v>38.6</v>
      </c>
    </row>
    <row r="35" spans="1:7" ht="15.75" thickBot="1" x14ac:dyDescent="0.3">
      <c r="A35" s="317" t="s">
        <v>479</v>
      </c>
      <c r="B35" s="318">
        <f t="shared" ref="B35:F35" si="4">SUM(B32:B34)</f>
        <v>119.6</v>
      </c>
      <c r="C35" s="318">
        <f t="shared" si="4"/>
        <v>53.5</v>
      </c>
      <c r="D35" s="318">
        <f t="shared" si="4"/>
        <v>15.5</v>
      </c>
      <c r="E35" s="318">
        <f t="shared" si="4"/>
        <v>81.400000000000006</v>
      </c>
      <c r="F35" s="318">
        <f t="shared" si="4"/>
        <v>7933.8</v>
      </c>
      <c r="G35" s="318">
        <f>SUM(G32:G34)-0.1</f>
        <v>8203.7000000000007</v>
      </c>
    </row>
  </sheetData>
  <mergeCells count="1">
    <mergeCell ref="A16:H1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election activeCell="M20" sqref="M20:O20"/>
    </sheetView>
  </sheetViews>
  <sheetFormatPr defaultColWidth="11.42578125" defaultRowHeight="11.25" x14ac:dyDescent="0.2"/>
  <cols>
    <col min="1" max="1" width="2.7109375" style="23" customWidth="1"/>
    <col min="2" max="2" width="16.28515625" style="16" customWidth="1"/>
    <col min="3" max="3" width="18.42578125" style="16" customWidth="1"/>
    <col min="4" max="5" width="15" style="16" bestFit="1" customWidth="1"/>
    <col min="6" max="7" width="13.7109375" style="16" customWidth="1"/>
    <col min="8" max="8" width="19" style="16" bestFit="1" customWidth="1"/>
    <col min="9" max="9" width="11.42578125" style="16"/>
    <col min="10" max="10" width="14.140625" style="16" bestFit="1" customWidth="1"/>
    <col min="11" max="12" width="11.42578125" style="16"/>
    <col min="13" max="13" width="14.28515625" style="16" bestFit="1" customWidth="1"/>
    <col min="14" max="16384" width="11.42578125" style="16"/>
  </cols>
  <sheetData>
    <row r="1" spans="1:18" s="10" customFormat="1" ht="11.25" customHeight="1" x14ac:dyDescent="0.2">
      <c r="A1" s="7"/>
      <c r="B1" s="7"/>
      <c r="C1" s="7"/>
      <c r="D1" s="8"/>
      <c r="E1" s="8"/>
      <c r="F1" s="9"/>
      <c r="G1" s="9"/>
      <c r="H1" s="9"/>
    </row>
    <row r="2" spans="1:18" s="10" customFormat="1" ht="5.25" customHeight="1" x14ac:dyDescent="0.2">
      <c r="A2" s="7"/>
      <c r="B2" s="7"/>
      <c r="C2" s="7"/>
      <c r="D2" s="8"/>
      <c r="E2" s="8"/>
      <c r="F2" s="9"/>
      <c r="G2" s="9"/>
      <c r="H2" s="9"/>
    </row>
    <row r="3" spans="1:18" s="12" customFormat="1" ht="12.75" customHeight="1" x14ac:dyDescent="0.2">
      <c r="A3" s="11"/>
      <c r="B3" s="324"/>
      <c r="C3" s="324"/>
      <c r="D3" s="324"/>
      <c r="E3" s="324"/>
      <c r="F3" s="324"/>
      <c r="G3" s="324"/>
      <c r="H3" s="324"/>
    </row>
    <row r="4" spans="1:18" s="10" customFormat="1" ht="5.0999999999999996" customHeight="1" x14ac:dyDescent="0.2">
      <c r="A4" s="7"/>
      <c r="B4" s="7"/>
      <c r="C4" s="7"/>
      <c r="D4" s="8"/>
      <c r="E4" s="8"/>
      <c r="F4" s="9"/>
      <c r="G4" s="9"/>
      <c r="H4" s="9"/>
      <c r="J4" s="7"/>
      <c r="K4" s="7"/>
    </row>
    <row r="5" spans="1:18" s="3" customFormat="1" ht="15.75" x14ac:dyDescent="0.25">
      <c r="A5" s="13"/>
      <c r="B5" s="325" t="s">
        <v>614</v>
      </c>
    </row>
    <row r="7" spans="1:18" x14ac:dyDescent="0.2">
      <c r="A7" s="12"/>
    </row>
    <row r="8" spans="1:18" ht="45.75" customHeight="1" x14ac:dyDescent="0.2">
      <c r="A8" s="12"/>
      <c r="B8" s="339" t="s">
        <v>615</v>
      </c>
      <c r="C8" s="339"/>
      <c r="D8" s="339" t="s">
        <v>616</v>
      </c>
      <c r="E8" s="339"/>
      <c r="F8" s="339" t="s">
        <v>617</v>
      </c>
      <c r="G8" s="339"/>
      <c r="H8" s="339" t="s">
        <v>618</v>
      </c>
      <c r="I8" s="339"/>
      <c r="J8" s="339" t="s">
        <v>619</v>
      </c>
      <c r="K8" s="339"/>
      <c r="L8" s="339"/>
      <c r="M8" s="339"/>
      <c r="N8" s="339" t="s">
        <v>620</v>
      </c>
      <c r="O8" s="339" t="s">
        <v>621</v>
      </c>
      <c r="P8" s="326"/>
    </row>
    <row r="9" spans="1:18" ht="66" customHeight="1" x14ac:dyDescent="0.2">
      <c r="A9" s="12"/>
      <c r="B9" s="339"/>
      <c r="C9" s="339"/>
      <c r="D9" s="339" t="s">
        <v>622</v>
      </c>
      <c r="E9" s="339" t="s">
        <v>623</v>
      </c>
      <c r="F9" s="339" t="s">
        <v>624</v>
      </c>
      <c r="G9" s="339" t="s">
        <v>625</v>
      </c>
      <c r="H9" s="339" t="s">
        <v>626</v>
      </c>
      <c r="I9" s="339" t="s">
        <v>627</v>
      </c>
      <c r="J9" s="339" t="s">
        <v>628</v>
      </c>
      <c r="K9" s="339" t="s">
        <v>629</v>
      </c>
      <c r="L9" s="339" t="s">
        <v>630</v>
      </c>
      <c r="M9" s="339" t="s">
        <v>508</v>
      </c>
      <c r="N9" s="339"/>
      <c r="O9" s="339"/>
    </row>
    <row r="10" spans="1:18" x14ac:dyDescent="0.2">
      <c r="A10" s="12"/>
      <c r="B10" s="327"/>
      <c r="C10" s="328"/>
      <c r="D10" s="329" t="s">
        <v>103</v>
      </c>
      <c r="E10" s="329" t="s">
        <v>516</v>
      </c>
      <c r="F10" s="329" t="s">
        <v>104</v>
      </c>
      <c r="G10" s="329" t="s">
        <v>105</v>
      </c>
      <c r="H10" s="329" t="s">
        <v>106</v>
      </c>
      <c r="I10" s="329" t="s">
        <v>107</v>
      </c>
      <c r="J10" s="329" t="s">
        <v>113</v>
      </c>
      <c r="K10" s="329" t="s">
        <v>108</v>
      </c>
      <c r="L10" s="329" t="s">
        <v>109</v>
      </c>
      <c r="M10" s="328" t="s">
        <v>110</v>
      </c>
      <c r="N10" s="329" t="s">
        <v>517</v>
      </c>
      <c r="O10" s="329" t="s">
        <v>114</v>
      </c>
    </row>
    <row r="11" spans="1:18" x14ac:dyDescent="0.2">
      <c r="A11" s="12"/>
      <c r="B11" s="330" t="s">
        <v>103</v>
      </c>
      <c r="C11" s="331" t="s">
        <v>631</v>
      </c>
      <c r="D11" s="331"/>
      <c r="E11" s="331"/>
      <c r="F11" s="331"/>
      <c r="G11" s="331"/>
      <c r="H11" s="331"/>
      <c r="I11" s="331"/>
      <c r="J11" s="331"/>
      <c r="K11" s="331"/>
      <c r="L11" s="331"/>
      <c r="M11" s="331"/>
      <c r="N11" s="331"/>
      <c r="O11" s="331"/>
    </row>
    <row r="12" spans="1:18" x14ac:dyDescent="0.2">
      <c r="A12" s="12"/>
      <c r="B12" s="331"/>
      <c r="C12" s="331" t="s">
        <v>632</v>
      </c>
      <c r="D12" s="332">
        <f>'[4]2. Development'!BI45</f>
        <v>4585.0749253399999</v>
      </c>
      <c r="E12" s="332"/>
      <c r="F12" s="331"/>
      <c r="G12" s="331"/>
      <c r="H12" s="331"/>
      <c r="I12" s="331"/>
      <c r="J12" s="332"/>
      <c r="K12" s="332"/>
      <c r="L12" s="332"/>
      <c r="M12" s="332"/>
      <c r="N12" s="333">
        <f>D12/SUM($D$12:$D$14)</f>
        <v>0.55778987570582916</v>
      </c>
      <c r="O12" s="334">
        <v>0.01</v>
      </c>
      <c r="R12" s="335"/>
    </row>
    <row r="13" spans="1:18" x14ac:dyDescent="0.2">
      <c r="A13" s="12"/>
      <c r="B13" s="331"/>
      <c r="C13" s="331" t="s">
        <v>29</v>
      </c>
      <c r="D13" s="332">
        <f>'[4]2. Development'!BI46</f>
        <v>1974.0674512000003</v>
      </c>
      <c r="E13" s="332"/>
      <c r="F13" s="331"/>
      <c r="G13" s="331"/>
      <c r="H13" s="331"/>
      <c r="I13" s="331"/>
      <c r="J13" s="332"/>
      <c r="K13" s="332"/>
      <c r="L13" s="332"/>
      <c r="M13" s="332"/>
      <c r="N13" s="333">
        <f>D13/SUM($D$12:$D$14)</f>
        <v>0.2401519835923116</v>
      </c>
      <c r="O13" s="334">
        <v>0</v>
      </c>
      <c r="R13" s="335"/>
    </row>
    <row r="14" spans="1:18" x14ac:dyDescent="0.2">
      <c r="A14" s="12"/>
      <c r="B14" s="331"/>
      <c r="C14" s="331" t="s">
        <v>515</v>
      </c>
      <c r="D14" s="332">
        <f>'[4]2. Development'!BI47</f>
        <v>1660.9331842399999</v>
      </c>
      <c r="E14" s="332"/>
      <c r="F14" s="331"/>
      <c r="G14" s="331"/>
      <c r="H14" s="331"/>
      <c r="I14" s="331"/>
      <c r="J14" s="332"/>
      <c r="K14" s="332"/>
      <c r="L14" s="332"/>
      <c r="M14" s="332"/>
      <c r="N14" s="333">
        <f>D14/SUM($D$12:$D$14)</f>
        <v>0.20205814070185926</v>
      </c>
      <c r="O14" s="334">
        <v>0</v>
      </c>
      <c r="R14" s="335"/>
    </row>
    <row r="15" spans="1:18" x14ac:dyDescent="0.2">
      <c r="A15" s="12"/>
      <c r="B15" s="16" t="s">
        <v>633</v>
      </c>
    </row>
    <row r="16" spans="1:18" x14ac:dyDescent="0.2">
      <c r="A16" s="12"/>
    </row>
    <row r="17" spans="1:15" x14ac:dyDescent="0.2">
      <c r="A17" s="12"/>
      <c r="B17" s="99" t="s">
        <v>634</v>
      </c>
      <c r="C17" s="99"/>
      <c r="D17" s="99"/>
    </row>
    <row r="18" spans="1:15" x14ac:dyDescent="0.2">
      <c r="A18" s="12"/>
    </row>
    <row r="19" spans="1:15" x14ac:dyDescent="0.2">
      <c r="A19" s="12"/>
      <c r="B19" s="277" t="s">
        <v>635</v>
      </c>
      <c r="C19" s="277"/>
      <c r="D19" s="277"/>
      <c r="E19" s="277"/>
      <c r="F19" s="277"/>
      <c r="G19" s="277"/>
      <c r="H19" s="277"/>
      <c r="I19" s="277"/>
      <c r="J19" s="277"/>
      <c r="K19" s="277"/>
      <c r="L19" s="277"/>
      <c r="M19" s="277" t="s">
        <v>636</v>
      </c>
      <c r="N19" s="277"/>
      <c r="O19" s="277"/>
    </row>
    <row r="20" spans="1:15" x14ac:dyDescent="0.2">
      <c r="A20" s="12"/>
      <c r="B20" s="330"/>
      <c r="C20" s="447"/>
      <c r="D20" s="448"/>
      <c r="E20" s="448"/>
      <c r="F20" s="448"/>
      <c r="G20" s="448"/>
      <c r="H20" s="448"/>
      <c r="I20" s="448"/>
      <c r="J20" s="448"/>
      <c r="K20" s="448"/>
      <c r="L20" s="449"/>
      <c r="M20" s="450" t="s">
        <v>103</v>
      </c>
      <c r="N20" s="450"/>
      <c r="O20" s="450"/>
    </row>
    <row r="21" spans="1:15" x14ac:dyDescent="0.2">
      <c r="A21" s="12"/>
      <c r="B21" s="330" t="s">
        <v>103</v>
      </c>
      <c r="C21" s="456" t="s">
        <v>637</v>
      </c>
      <c r="D21" s="456"/>
      <c r="E21" s="456"/>
      <c r="F21" s="456"/>
      <c r="G21" s="456"/>
      <c r="H21" s="456"/>
      <c r="I21" s="456"/>
      <c r="J21" s="456"/>
      <c r="K21" s="456"/>
      <c r="L21" s="456"/>
      <c r="M21" s="455">
        <f>D12+D13+D14</f>
        <v>8220.0755607800002</v>
      </c>
      <c r="N21" s="455"/>
      <c r="O21" s="455"/>
    </row>
    <row r="22" spans="1:15" x14ac:dyDescent="0.2">
      <c r="A22" s="12"/>
      <c r="B22" s="330" t="s">
        <v>516</v>
      </c>
      <c r="C22" s="451" t="s">
        <v>638</v>
      </c>
      <c r="D22" s="452"/>
      <c r="E22" s="452"/>
      <c r="F22" s="452"/>
      <c r="G22" s="452"/>
      <c r="H22" s="452"/>
      <c r="I22" s="452"/>
      <c r="J22" s="452"/>
      <c r="K22" s="452"/>
      <c r="L22" s="453"/>
      <c r="M22" s="454">
        <f>N12*O12</f>
        <v>5.5778987570582915E-3</v>
      </c>
      <c r="N22" s="454"/>
      <c r="O22" s="454"/>
    </row>
    <row r="23" spans="1:15" x14ac:dyDescent="0.2">
      <c r="A23" s="12"/>
      <c r="B23" s="330" t="s">
        <v>104</v>
      </c>
      <c r="C23" s="336" t="s">
        <v>639</v>
      </c>
      <c r="D23" s="337"/>
      <c r="E23" s="337"/>
      <c r="F23" s="337"/>
      <c r="G23" s="337"/>
      <c r="H23" s="337"/>
      <c r="I23" s="337"/>
      <c r="J23" s="337"/>
      <c r="K23" s="337"/>
      <c r="L23" s="338"/>
      <c r="M23" s="455">
        <f>+M21*M22</f>
        <v>45.850749253400004</v>
      </c>
      <c r="N23" s="455"/>
      <c r="O23" s="455"/>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x14ac:dyDescent="0.2">
      <c r="A57" s="20"/>
    </row>
    <row r="58" spans="1:1" x14ac:dyDescent="0.2">
      <c r="A58" s="20"/>
    </row>
    <row r="59" spans="1:1" x14ac:dyDescent="0.2">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D15" sqref="D15"/>
    </sheetView>
  </sheetViews>
  <sheetFormatPr defaultColWidth="11.42578125" defaultRowHeight="11.25" x14ac:dyDescent="0.2"/>
  <cols>
    <col min="1" max="1" width="2.7109375" style="23" customWidth="1"/>
    <col min="2" max="2" width="11.42578125" style="16"/>
    <col min="3" max="3" width="71.7109375" style="16" customWidth="1"/>
    <col min="4" max="4" width="13.7109375" style="16" customWidth="1"/>
    <col min="5"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s="3" customFormat="1" ht="18" x14ac:dyDescent="0.25">
      <c r="A5" s="13"/>
      <c r="B5" s="136" t="s">
        <v>31</v>
      </c>
    </row>
    <row r="7" spans="1:11" x14ac:dyDescent="0.2">
      <c r="A7" s="14"/>
      <c r="B7" s="458" t="s">
        <v>22</v>
      </c>
      <c r="C7" s="459"/>
      <c r="D7" s="24">
        <v>44561</v>
      </c>
    </row>
    <row r="8" spans="1:11" x14ac:dyDescent="0.2">
      <c r="A8" s="14"/>
      <c r="B8" s="25">
        <v>1</v>
      </c>
      <c r="C8" s="26" t="s">
        <v>32</v>
      </c>
      <c r="D8" s="27">
        <v>10105.487872109999</v>
      </c>
    </row>
    <row r="9" spans="1:11" ht="22.5" x14ac:dyDescent="0.2">
      <c r="A9" s="12"/>
      <c r="B9" s="28">
        <v>2</v>
      </c>
      <c r="C9" s="26" t="s">
        <v>33</v>
      </c>
      <c r="D9" s="29"/>
    </row>
    <row r="10" spans="1:11" ht="22.5"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2.5" x14ac:dyDescent="0.2">
      <c r="A13" s="12"/>
      <c r="B13" s="25">
        <v>6</v>
      </c>
      <c r="C13" s="26" t="s">
        <v>37</v>
      </c>
      <c r="D13" s="29">
        <f>'[4]8. Capital'!$BX$79/1000</f>
        <v>5263.7388107955403</v>
      </c>
    </row>
    <row r="14" spans="1:11" x14ac:dyDescent="0.2">
      <c r="A14" s="12"/>
      <c r="B14" s="25">
        <v>7</v>
      </c>
      <c r="C14" s="26" t="s">
        <v>38</v>
      </c>
      <c r="D14" s="29"/>
    </row>
    <row r="15" spans="1:11" x14ac:dyDescent="0.2">
      <c r="A15" s="12"/>
      <c r="B15" s="30">
        <v>8</v>
      </c>
      <c r="C15" s="31" t="s">
        <v>39</v>
      </c>
      <c r="D15" s="29">
        <f>D8+D13</f>
        <v>15369.226682905541</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istorisk_x0020_Endret_x0020_av xmlns="8790d953-e845-4493-8d94-ad70ad5c0e0c" xsi:nil="true"/>
    <Historisk_x0020_Opprettet_x0020_av xmlns="8790d953-e845-4493-8d94-ad70ad5c0e0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C4475082F71B04BA1AF6FD28499429F" ma:contentTypeVersion="0" ma:contentTypeDescription="Opprett et nytt dokument." ma:contentTypeScope="" ma:versionID="84092da22a69e83aa818b1756a233516">
  <xsd:schema xmlns:xsd="http://www.w3.org/2001/XMLSchema" xmlns:xs="http://www.w3.org/2001/XMLSchema" xmlns:p="http://schemas.microsoft.com/office/2006/metadata/properties" xmlns:ns2="8790d953-e845-4493-8d94-ad70ad5c0e0c" targetNamespace="http://schemas.microsoft.com/office/2006/metadata/properties" ma:root="true" ma:fieldsID="04c3746b2776c7f53c3bd7a6d0d58fcf" ns2:_="">
    <xsd:import namespace="8790d953-e845-4493-8d94-ad70ad5c0e0c"/>
    <xsd:element name="properties">
      <xsd:complexType>
        <xsd:sequence>
          <xsd:element name="documentManagement">
            <xsd:complexType>
              <xsd:all>
                <xsd:element ref="ns2:Historisk_x0020_Endret_x0020_av" minOccurs="0"/>
                <xsd:element ref="ns2:Historisk_x0020_Opprettet_x0020_av"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90d953-e845-4493-8d94-ad70ad5c0e0c" elementFormDefault="qualified">
    <xsd:import namespace="http://schemas.microsoft.com/office/2006/documentManagement/types"/>
    <xsd:import namespace="http://schemas.microsoft.com/office/infopath/2007/PartnerControls"/>
    <xsd:element name="Historisk_x0020_Endret_x0020_av" ma:index="8" nillable="true" ma:displayName="Historisk Endret av" ma:internalName="Historisk_x0020_Endret_x0020_av">
      <xsd:simpleType>
        <xsd:restriction base="dms:Text">
          <xsd:maxLength value="255"/>
        </xsd:restriction>
      </xsd:simpleType>
    </xsd:element>
    <xsd:element name="Historisk_x0020_Opprettet_x0020_av" ma:index="9" nillable="true" ma:displayName="Historisk Opprettet av" ma:internalName="Historisk_x0020_Opprettet_x0020_av">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2.xml><?xml version="1.0" encoding="utf-8"?>
<ds:datastoreItem xmlns:ds="http://schemas.openxmlformats.org/officeDocument/2006/customXml" ds:itemID="{2425438D-76F8-40A2-84BE-76F0CEFEBF52}">
  <ds:schemaRefs>
    <ds:schemaRef ds:uri="http://purl.org/dc/terms/"/>
    <ds:schemaRef ds:uri="http://schemas.microsoft.com/office/2006/metadata/properties"/>
    <ds:schemaRef ds:uri="http://purl.org/dc/dcmitype/"/>
    <ds:schemaRef ds:uri="http://purl.org/dc/elements/1.1/"/>
    <ds:schemaRef ds:uri="8790d953-e845-4493-8d94-ad70ad5c0e0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10A44F2-19DA-4A27-9F43-3234778FA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90d953-e845-4493-8d94-ad70ad5c0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'7'!Print_Area</vt:lpstr>
      <vt:lpstr>'8'!Print_Area</vt:lpstr>
      <vt:lpstr>'9'!Print_Area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Angelica Rehnlund</cp:lastModifiedBy>
  <dcterms:created xsi:type="dcterms:W3CDTF">2020-02-12T13:45:07Z</dcterms:created>
  <dcterms:modified xsi:type="dcterms:W3CDTF">2022-05-24T06:59:37Z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0x0101003C4475082F71B04BA1AF6FD28499429F</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